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<sst xmlns="http://schemas.openxmlformats.org/spreadsheetml/2006/main" count="163" uniqueCount="112">
  <si>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</si>
  <si>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</si>
  <si>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</si>
  <si>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</si>
  <si>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</si>
  <si>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</si>
  <si>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</si>
  <si>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</si>
  <si>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</si>
  <si>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</si>
  <si>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</si>
  <si>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</si>
  <si>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</si>
  <si>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</si>
  <si>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</si>
  <si>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</si>
  <si>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</si>
  <si>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</si>
  <si>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</si>
  <si>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</si>
  <si>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</si>
  <si>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</si>
  <si>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</si>
  <si>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</si>
  <si>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</si>
  <si>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</si>
  <si>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</si>
  <si>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</si>
  <si>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</si>
  <si>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</si>
  <si>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</si>
  <si>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</si>
  <si>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</si>
  <si>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</si>
  <si>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</si>
  <si>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</si>
  <si>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</si>
  <si>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</si>
  <si>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</si>
  <si>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</si>
  <si>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</si>
  <si>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</si>
  <si>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</si>
  <si>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</si>
  <si>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</si>
  <si>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</si>
  <si>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</si>
  <si>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</si>
  <si>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</si>
  <si>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</si>
  <si>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</si>
  <si>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</si>
  <si>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</si>
  <si>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</si>
  <si>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</si>
  <si>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</si>
  <si>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</si>
  <si>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</si>
  <si>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</si>
  <si>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</si>
  <si>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</si>
  <si>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</si>
  <si>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</si>
  <si>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</si>
  <si>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</si>
  <si>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</si>
  <si>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</si>
  <si>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</si>
  <si>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</si>
  <si>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</si>
  <si>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</si>
  <si>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</si>
  <si>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</si>
  <si>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</si>
  <si>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</si>
  <si>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</si>
  <si>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</si>
  <si>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</si>
  <si>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</si>
  <si>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</si>
  <si>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</si>
  <si>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</si>
  <si>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</si>
  <si>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</si>
  <si>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</si>
  <si>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</si>
  <si>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</si>
  <si>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</si>
  <si>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</si>
  <si>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</si>
  <si>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</si>
  <si>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</si>
  <si>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</si>
  <si>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</si>
  <si>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</si>
  <si>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</si>
  <si>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</si>
  <si>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</si>
  <si>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</si>
  <si>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</si>
  <si>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</si>
  <si>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</si>
  <si>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</si>
  <si>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</si>
  <si>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</si>
  <si>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</si>
  <si>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Субвенція державному бюджету на виконання програм соціально-економічного та культурного розвитку регіонів</t>
  </si>
  <si>
    <t>Програма впорядкування тимчасових споруд і зовнішньої реклами</t>
  </si>
  <si>
    <t>План на 5 місяців, тис.грн.</t>
  </si>
  <si>
    <t>Відсоток виконання плану 5 місяців</t>
  </si>
  <si>
    <t>Відхилення від плану 5 місяців, тис.грн.</t>
  </si>
  <si>
    <t>Аналіз використання коштів загального фонду міського бюджету станом на 12.05.2017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</si>
</sst>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2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3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24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24" borderId="13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/>
    </xf>
    <xf numFmtId="190" fontId="4" fillId="24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24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24" borderId="15" xfId="0" applyNumberFormat="1" applyFont="1" applyFill="1" applyBorder="1" applyAlignment="1">
      <alignment wrapText="1"/>
    </xf>
    <xf numFmtId="190" fontId="4" fillId="24" borderId="15" xfId="0" applyNumberFormat="1" applyFont="1" applyFill="1" applyBorder="1" applyAlignment="1">
      <alignment/>
    </xf>
    <xf numFmtId="190" fontId="4" fillId="24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90" fontId="4" fillId="24" borderId="16" xfId="0" applyNumberFormat="1" applyFont="1" applyFill="1" applyBorder="1" applyAlignment="1">
      <alignment/>
    </xf>
    <xf numFmtId="189" fontId="4" fillId="24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24" borderId="13" xfId="0" applyNumberFormat="1" applyFont="1" applyFill="1" applyBorder="1" applyAlignment="1">
      <alignment vertical="center" wrapText="1"/>
    </xf>
    <xf numFmtId="189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24" borderId="14" xfId="0" applyNumberFormat="1" applyFont="1" applyFill="1" applyBorder="1" applyAlignment="1">
      <alignment/>
    </xf>
    <xf numFmtId="189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24" borderId="15" xfId="0" applyNumberFormat="1" applyFont="1" applyFill="1" applyBorder="1" applyAlignment="1">
      <alignment/>
    </xf>
    <xf numFmtId="190" fontId="5" fillId="24" borderId="20" xfId="0" applyNumberFormat="1" applyFont="1" applyFill="1" applyBorder="1" applyAlignment="1">
      <alignment wrapText="1"/>
    </xf>
    <xf numFmtId="190" fontId="4" fillId="24" borderId="22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25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24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24" borderId="13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10"/>
      </font>
    </dxf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875"/>
          <c:y val="-0.0097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157960</c:v>
                </c:pt>
                <c:pt idx="1">
                  <c:v>148246.2</c:v>
                </c:pt>
                <c:pt idx="2">
                  <c:v>2620.6</c:v>
                </c:pt>
                <c:pt idx="3">
                  <c:v>7093.199999999988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25079.4</c:v>
                </c:pt>
                <c:pt idx="1">
                  <c:v>22474.5</c:v>
                </c:pt>
                <c:pt idx="2">
                  <c:v>1005</c:v>
                </c:pt>
                <c:pt idx="3">
                  <c:v>1599.9000000000015</c:v>
                </c:pt>
              </c:numCache>
            </c:numRef>
          </c:val>
          <c:shape val="box"/>
        </c:ser>
        <c:shape val="box"/>
        <c:axId val="54534441"/>
        <c:axId val="21047922"/>
      </c:bar3DChart>
      <c:catAx>
        <c:axId val="54534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4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07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625652.8999999999</c:v>
                </c:pt>
                <c:pt idx="1">
                  <c:v>243334.5</c:v>
                </c:pt>
                <c:pt idx="2">
                  <c:v>487818.8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14045.4</c:v>
                </c:pt>
                <c:pt idx="7">
                  <c:v>15334.199999999919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180062.80000000005</c:v>
                </c:pt>
                <c:pt idx="1">
                  <c:v>61247.299999999996</c:v>
                </c:pt>
                <c:pt idx="2">
                  <c:v>129811.00000000001</c:v>
                </c:pt>
                <c:pt idx="3">
                  <c:v>17.5</c:v>
                </c:pt>
                <c:pt idx="4">
                  <c:v>8945.8</c:v>
                </c:pt>
                <c:pt idx="5">
                  <c:v>36130.200000000004</c:v>
                </c:pt>
                <c:pt idx="6">
                  <c:v>3494.3999999999996</c:v>
                </c:pt>
                <c:pt idx="7">
                  <c:v>1663.900000000025</c:v>
                </c:pt>
              </c:numCache>
            </c:numRef>
          </c:val>
          <c:shape val="box"/>
        </c:ser>
        <c:shape val="box"/>
        <c:axId val="55213571"/>
        <c:axId val="27160092"/>
      </c:bar3D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160092"/>
        <c:crosses val="autoZero"/>
        <c:auto val="1"/>
        <c:lblOffset val="100"/>
        <c:tickLblSkip val="1"/>
        <c:noMultiLvlLbl val="0"/>
      </c:catAx>
      <c:valAx>
        <c:axId val="271600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3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725"/>
          <c:y val="-0.001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345568.49999999994</c:v>
                </c:pt>
                <c:pt idx="1">
                  <c:v>239505.5</c:v>
                </c:pt>
                <c:pt idx="2">
                  <c:v>345568.49999999994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104349.50000000003</c:v>
                </c:pt>
                <c:pt idx="1">
                  <c:v>64517.40000000001</c:v>
                </c:pt>
                <c:pt idx="2">
                  <c:v>104349.50000000003</c:v>
                </c:pt>
              </c:numCache>
            </c:numRef>
          </c:val>
          <c:shape val="box"/>
        </c:ser>
        <c:shape val="box"/>
        <c:axId val="43114237"/>
        <c:axId val="52483814"/>
      </c:bar3D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1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4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67303.3</c:v>
                </c:pt>
                <c:pt idx="1">
                  <c:v>55535.9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7885.200000000002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16068.100000000002</c:v>
                </c:pt>
                <c:pt idx="1">
                  <c:v>13129.7</c:v>
                </c:pt>
                <c:pt idx="2">
                  <c:v>989.6</c:v>
                </c:pt>
                <c:pt idx="3">
                  <c:v>25.800000000000004</c:v>
                </c:pt>
                <c:pt idx="4">
                  <c:v>20.4</c:v>
                </c:pt>
                <c:pt idx="5">
                  <c:v>1902.6000000000015</c:v>
                </c:pt>
              </c:numCache>
            </c:numRef>
          </c:val>
          <c:shape val="box"/>
        </c:ser>
        <c:shape val="box"/>
        <c:axId val="2592279"/>
        <c:axId val="23330512"/>
      </c:bar3D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4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25858.7</c:v>
                </c:pt>
                <c:pt idx="1">
                  <c:v>16189.8</c:v>
                </c:pt>
                <c:pt idx="2">
                  <c:v>13</c:v>
                </c:pt>
                <c:pt idx="3">
                  <c:v>810.2</c:v>
                </c:pt>
                <c:pt idx="4">
                  <c:v>1048.5</c:v>
                </c:pt>
                <c:pt idx="5">
                  <c:v>518.9</c:v>
                </c:pt>
                <c:pt idx="6">
                  <c:v>7278.300000000002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6306.8</c:v>
                </c:pt>
                <c:pt idx="1">
                  <c:v>3805</c:v>
                </c:pt>
                <c:pt idx="3">
                  <c:v>169.8</c:v>
                </c:pt>
                <c:pt idx="4">
                  <c:v>384.70000000000005</c:v>
                </c:pt>
                <c:pt idx="5">
                  <c:v>120</c:v>
                </c:pt>
                <c:pt idx="6">
                  <c:v>1827.3000000000004</c:v>
                </c:pt>
              </c:numCache>
            </c:numRef>
          </c:val>
          <c:shape val="box"/>
        </c:ser>
        <c:shape val="box"/>
        <c:axId val="8648017"/>
        <c:axId val="10723290"/>
      </c:bar3DChart>
      <c:catAx>
        <c:axId val="8648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23290"/>
        <c:crosses val="autoZero"/>
        <c:auto val="1"/>
        <c:lblOffset val="100"/>
        <c:tickLblSkip val="2"/>
        <c:noMultiLvlLbl val="0"/>
      </c:catAx>
      <c:valAx>
        <c:axId val="10723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8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75"/>
          <c:y val="-0.001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8044.6</c:v>
                </c:pt>
                <c:pt idx="1">
                  <c:v>2900.3</c:v>
                </c:pt>
                <c:pt idx="2">
                  <c:v>337.1</c:v>
                </c:pt>
                <c:pt idx="3">
                  <c:v>451.8</c:v>
                </c:pt>
                <c:pt idx="4">
                  <c:v>3707.1</c:v>
                </c:pt>
                <c:pt idx="5">
                  <c:v>648.3000000000001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870.2000000000002</c:v>
                </c:pt>
                <c:pt idx="1">
                  <c:v>682.6</c:v>
                </c:pt>
                <c:pt idx="3">
                  <c:v>175.7</c:v>
                </c:pt>
                <c:pt idx="5">
                  <c:v>11.900000000000148</c:v>
                </c:pt>
              </c:numCache>
            </c:numRef>
          </c:val>
          <c:shape val="box"/>
        </c:ser>
        <c:shape val="box"/>
        <c:axId val="29400747"/>
        <c:axId val="63280132"/>
      </c:bar3D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00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9"/>
          <c:y val="-0.014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18818.899999999998</c:v>
                </c:pt>
              </c:numCache>
            </c:numRef>
          </c:val>
          <c:shape val="box"/>
        </c:ser>
        <c:shape val="box"/>
        <c:axId val="32650277"/>
        <c:axId val="25417038"/>
      </c:bar3D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417038"/>
        <c:crosses val="autoZero"/>
        <c:auto val="1"/>
        <c:lblOffset val="100"/>
        <c:tickLblSkip val="1"/>
        <c:noMultiLvlLbl val="0"/>
      </c:catAx>
      <c:valAx>
        <c:axId val="25417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50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625652.8999999999</c:v>
                </c:pt>
                <c:pt idx="1">
                  <c:v>345568.49999999994</c:v>
                </c:pt>
                <c:pt idx="2">
                  <c:v>67303.3</c:v>
                </c:pt>
                <c:pt idx="3">
                  <c:v>25858.7</c:v>
                </c:pt>
                <c:pt idx="4">
                  <c:v>8044.6</c:v>
                </c:pt>
                <c:pt idx="5">
                  <c:v>157960</c:v>
                </c:pt>
                <c:pt idx="6">
                  <c:v>59880.5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180062.80000000005</c:v>
                </c:pt>
                <c:pt idx="1">
                  <c:v>104349.50000000003</c:v>
                </c:pt>
                <c:pt idx="2">
                  <c:v>16068.100000000002</c:v>
                </c:pt>
                <c:pt idx="3">
                  <c:v>6306.8</c:v>
                </c:pt>
                <c:pt idx="4">
                  <c:v>870.2000000000002</c:v>
                </c:pt>
                <c:pt idx="5">
                  <c:v>25079.4</c:v>
                </c:pt>
                <c:pt idx="6">
                  <c:v>18818.899999999998</c:v>
                </c:pt>
              </c:numCache>
            </c:numRef>
          </c:val>
          <c:shape val="box"/>
        </c:ser>
        <c:shape val="box"/>
        <c:axId val="27426751"/>
        <c:axId val="45514168"/>
      </c:bar3DChart>
      <c:catAx>
        <c:axId val="27426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14168"/>
        <c:crosses val="autoZero"/>
        <c:auto val="1"/>
        <c:lblOffset val="100"/>
        <c:tickLblSkip val="1"/>
        <c:noMultiLvlLbl val="0"/>
      </c:catAx>
      <c:valAx>
        <c:axId val="45514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6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2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722894.7</c:v>
                </c:pt>
                <c:pt idx="1">
                  <c:v>102336.00000000003</c:v>
                </c:pt>
                <c:pt idx="2">
                  <c:v>28683.1</c:v>
                </c:pt>
                <c:pt idx="3">
                  <c:v>29231.3</c:v>
                </c:pt>
                <c:pt idx="4">
                  <c:v>186.9</c:v>
                </c:pt>
                <c:pt idx="5">
                  <c:v>996364.1999999997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173103</c:v>
                </c:pt>
                <c:pt idx="1">
                  <c:v>42956.7</c:v>
                </c:pt>
                <c:pt idx="2">
                  <c:v>9133.899999999998</c:v>
                </c:pt>
                <c:pt idx="3">
                  <c:v>6252.399999999999</c:v>
                </c:pt>
                <c:pt idx="4">
                  <c:v>17.9</c:v>
                </c:pt>
                <c:pt idx="5">
                  <c:v>222314.5000000001</c:v>
                </c:pt>
              </c:numCache>
            </c:numRef>
          </c:val>
          <c:shape val="box"/>
        </c:ser>
        <c:shape val="box"/>
        <c:axId val="6974329"/>
        <c:axId val="62768962"/>
      </c:bar3DChart>
      <c:catAx>
        <c:axId val="6974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68962"/>
        <c:crosses val="autoZero"/>
        <c:auto val="1"/>
        <c:lblOffset val="100"/>
        <c:tickLblSkip val="1"/>
        <c:noMultiLvlLbl val="0"/>
      </c:catAx>
      <c:valAx>
        <c:axId val="627689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74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6"/>
  <sheetViews>
    <sheetView tabSelected="1" zoomScale="80" zoomScaleNormal="80" zoomScalePageLayoutView="0" workbookViewId="0" topLeftCell="A1">
      <pane xSplit="1" ySplit="5" topLeftCell="B14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5" sqref="B135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29" t="s">
        <v>111</v>
      </c>
      <c r="B1" s="129"/>
      <c r="C1" s="129"/>
      <c r="D1" s="129"/>
      <c r="E1" s="129"/>
      <c r="F1" s="129"/>
      <c r="G1" s="129"/>
      <c r="H1" s="129"/>
      <c r="I1" s="129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3" t="s">
        <v>41</v>
      </c>
      <c r="B3" s="130" t="s">
        <v>108</v>
      </c>
      <c r="C3" s="130" t="s">
        <v>91</v>
      </c>
      <c r="D3" s="130" t="s">
        <v>23</v>
      </c>
      <c r="E3" s="130" t="s">
        <v>22</v>
      </c>
      <c r="F3" s="130" t="s">
        <v>109</v>
      </c>
      <c r="G3" s="130" t="s">
        <v>93</v>
      </c>
      <c r="H3" s="130" t="s">
        <v>110</v>
      </c>
      <c r="I3" s="130" t="s">
        <v>92</v>
      </c>
    </row>
    <row r="4" spans="1:9" ht="24.75" customHeight="1">
      <c r="A4" s="134"/>
      <c r="B4" s="131"/>
      <c r="C4" s="131"/>
      <c r="D4" s="131"/>
      <c r="E4" s="131"/>
      <c r="F4" s="131"/>
      <c r="G4" s="131"/>
      <c r="H4" s="131"/>
      <c r="I4" s="131"/>
    </row>
    <row r="5" spans="1:9" ht="39" customHeight="1" thickBot="1">
      <c r="A5" s="135"/>
      <c r="B5" s="132"/>
      <c r="C5" s="132"/>
      <c r="D5" s="132"/>
      <c r="E5" s="132"/>
      <c r="F5" s="132"/>
      <c r="G5" s="132"/>
      <c r="H5" s="132"/>
      <c r="I5" s="132"/>
    </row>
    <row r="6" spans="1:9" ht="18.75" thickBot="1">
      <c r="A6" s="22" t="s">
        <v>27</v>
      </c>
      <c r="B6" s="45">
        <v>285576.6</v>
      </c>
      <c r="C6" s="46">
        <f>625865.1-190.4-316.9+47.1+50+198+5366.4</f>
        <v>631019.2999999999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</f>
        <v>210927.90000000002</v>
      </c>
      <c r="E6" s="3">
        <f>D6/D151*100</f>
        <v>38.63369115597814</v>
      </c>
      <c r="F6" s="3">
        <f>D6/B6*100</f>
        <v>73.86035830666799</v>
      </c>
      <c r="G6" s="3">
        <f aca="true" t="shared" si="0" ref="G6:G43">D6/C6*100</f>
        <v>33.42653703301944</v>
      </c>
      <c r="H6" s="47">
        <f>B6-D6</f>
        <v>74648.69999999995</v>
      </c>
      <c r="I6" s="47">
        <f aca="true" t="shared" si="1" ref="I6:I43">C6-D6</f>
        <v>420091.3999999999</v>
      </c>
    </row>
    <row r="7" spans="1:9" s="37" customFormat="1" ht="18.75">
      <c r="A7" s="104" t="s">
        <v>83</v>
      </c>
      <c r="B7" s="97">
        <v>102931.9</v>
      </c>
      <c r="C7" s="94">
        <f>243287.4+47.1+20</f>
        <v>243354.5</v>
      </c>
      <c r="D7" s="105">
        <f>6699.4+11261.7+10.2+8073.8+9792.3+0.1+0.8+7352+6.6+10108.4-0.1+7942.1+9848.6-0.1</f>
        <v>71095.79999999999</v>
      </c>
      <c r="E7" s="95">
        <f>D7/D6*100</f>
        <v>33.70620956260409</v>
      </c>
      <c r="F7" s="95">
        <f>D7/B7*100</f>
        <v>69.07071568677931</v>
      </c>
      <c r="G7" s="95">
        <f>D7/C7*100</f>
        <v>29.214910757762848</v>
      </c>
      <c r="H7" s="105">
        <f>B7-D7</f>
        <v>31836.100000000006</v>
      </c>
      <c r="I7" s="105">
        <f t="shared" si="1"/>
        <v>172258.7</v>
      </c>
    </row>
    <row r="8" spans="1:9" ht="18">
      <c r="A8" s="23" t="s">
        <v>3</v>
      </c>
      <c r="B8" s="42">
        <v>210567.2</v>
      </c>
      <c r="C8" s="43">
        <f>487771.7+47.1+4992.2</f>
        <v>492811</v>
      </c>
      <c r="D8" s="44">
        <f>12945+14658+9353.4+10.2+0.1+7+16015+13071.9+6973.3+1906+3.4+7.6+13882.5+6.6+747.5+21101.8+2656.1+15.6+10047+6403+9848.6+12369.9</f>
        <v>152029.5</v>
      </c>
      <c r="E8" s="1">
        <f>D8/D6*100</f>
        <v>72.0765247271698</v>
      </c>
      <c r="F8" s="1">
        <f>D8/B8*100</f>
        <v>72.19999126169697</v>
      </c>
      <c r="G8" s="1">
        <f t="shared" si="0"/>
        <v>30.84945344158308</v>
      </c>
      <c r="H8" s="44">
        <f>B8-D8</f>
        <v>58537.70000000001</v>
      </c>
      <c r="I8" s="44">
        <f t="shared" si="1"/>
        <v>340781.5</v>
      </c>
    </row>
    <row r="9" spans="1:9" ht="18">
      <c r="A9" s="23" t="s">
        <v>2</v>
      </c>
      <c r="B9" s="42">
        <v>48.4</v>
      </c>
      <c r="C9" s="43">
        <v>92.5</v>
      </c>
      <c r="D9" s="44">
        <f>2.5+4.3+3.3+7+0.4+1.3+1.6</f>
        <v>20.400000000000002</v>
      </c>
      <c r="E9" s="12">
        <f>D9/D6*100</f>
        <v>0.009671551274155766</v>
      </c>
      <c r="F9" s="120">
        <f>D9/B9*100</f>
        <v>42.14876033057852</v>
      </c>
      <c r="G9" s="1">
        <f t="shared" si="0"/>
        <v>22.054054054054056</v>
      </c>
      <c r="H9" s="44">
        <f aca="true" t="shared" si="2" ref="H9:H43">B9-D9</f>
        <v>27.999999999999996</v>
      </c>
      <c r="I9" s="44">
        <f t="shared" si="1"/>
        <v>72.1</v>
      </c>
    </row>
    <row r="10" spans="1:9" ht="18">
      <c r="A10" s="23" t="s">
        <v>1</v>
      </c>
      <c r="B10" s="42">
        <v>15274.4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</f>
        <v>11694.6</v>
      </c>
      <c r="E10" s="1">
        <f>D10/D6*100</f>
        <v>5.544358996605</v>
      </c>
      <c r="F10" s="1">
        <f aca="true" t="shared" si="3" ref="F10:F41">D10/B10*100</f>
        <v>76.56340019902582</v>
      </c>
      <c r="G10" s="1">
        <f t="shared" si="0"/>
        <v>42.58543779473081</v>
      </c>
      <c r="H10" s="44">
        <f t="shared" si="2"/>
        <v>3579.7999999999993</v>
      </c>
      <c r="I10" s="44">
        <f t="shared" si="1"/>
        <v>15766.9</v>
      </c>
    </row>
    <row r="11" spans="1:9" ht="18">
      <c r="A11" s="23" t="s">
        <v>0</v>
      </c>
      <c r="B11" s="42">
        <v>46842.7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</f>
        <v>40471.4</v>
      </c>
      <c r="E11" s="1">
        <f>D11/D6*100</f>
        <v>19.18731471749351</v>
      </c>
      <c r="F11" s="1">
        <f t="shared" si="3"/>
        <v>86.39852100754227</v>
      </c>
      <c r="G11" s="1">
        <f t="shared" si="0"/>
        <v>50.02614322532</v>
      </c>
      <c r="H11" s="44">
        <f t="shared" si="2"/>
        <v>6371.299999999996</v>
      </c>
      <c r="I11" s="44">
        <f t="shared" si="1"/>
        <v>40429.1</v>
      </c>
    </row>
    <row r="12" spans="1:9" ht="18">
      <c r="A12" s="23" t="s">
        <v>14</v>
      </c>
      <c r="B12" s="42">
        <v>5838.7</v>
      </c>
      <c r="C12" s="43">
        <v>14045.5</v>
      </c>
      <c r="D12" s="44">
        <f>276.3+3.4+1.2+766.5+1.2+207.2+488.1+284.1+207.8+0.1+1.2+2.8+9+434.7+164.8+490.2+0.8+3.6+1.2+150.2+3.6+534.8+237.6+35.2+0.2+10.9</f>
        <v>4316.699999999999</v>
      </c>
      <c r="E12" s="1">
        <f>D12/D6*100</f>
        <v>2.046528695350401</v>
      </c>
      <c r="F12" s="1">
        <f t="shared" si="3"/>
        <v>73.93255347937038</v>
      </c>
      <c r="G12" s="1">
        <f t="shared" si="0"/>
        <v>30.73368694599693</v>
      </c>
      <c r="H12" s="44">
        <f t="shared" si="2"/>
        <v>1522.000000000001</v>
      </c>
      <c r="I12" s="44">
        <f t="shared" si="1"/>
        <v>9728.800000000001</v>
      </c>
    </row>
    <row r="13" spans="1:9" ht="18.75" thickBot="1">
      <c r="A13" s="23" t="s">
        <v>28</v>
      </c>
      <c r="B13" s="43">
        <f>B6-B8-B9-B10-B11-B12</f>
        <v>7005.1999999999725</v>
      </c>
      <c r="C13" s="43">
        <f>C6-C8-C9-C10-C11-C12</f>
        <v>15708.29999999993</v>
      </c>
      <c r="D13" s="43">
        <f>D6-D8-D9-D10-D11-D12</f>
        <v>2395.300000000023</v>
      </c>
      <c r="E13" s="1">
        <f>D13/D6*100</f>
        <v>1.1356013121071338</v>
      </c>
      <c r="F13" s="1">
        <f t="shared" si="3"/>
        <v>34.193170787415525</v>
      </c>
      <c r="G13" s="1">
        <f t="shared" si="0"/>
        <v>15.248626522284612</v>
      </c>
      <c r="H13" s="44">
        <f t="shared" si="2"/>
        <v>4609.89999999995</v>
      </c>
      <c r="I13" s="44">
        <f t="shared" si="1"/>
        <v>13312.999999999907</v>
      </c>
    </row>
    <row r="14" spans="1:13" s="37" customFormat="1" ht="18.75" customHeight="1" hidden="1">
      <c r="A14" s="96" t="s">
        <v>63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60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61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62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173711.6</v>
      </c>
      <c r="C18" s="46">
        <f>329127.1+600+14307.6+200+1333.8+15842.2</f>
        <v>361410.69999999995</v>
      </c>
      <c r="D18" s="47">
        <f>7750.2+16091.8+509.8+21.4+337.2+206.3+9326.4+708.9+873+242.1+3327.1+2.3+17653.4+33.8-2.1+533.8+30.7+490.1+11915.5+3423.1+24.3+167.7+3429.8+14147.8+57.6+1.8+36.5+3469.9+24.5+9514.8+2039.4+634+1548+13955+0.1+398.3+903</f>
        <v>123827.30000000003</v>
      </c>
      <c r="E18" s="3">
        <f>D18/D151*100</f>
        <v>22.680288690489277</v>
      </c>
      <c r="F18" s="3">
        <f>D18/B18*100</f>
        <v>71.28326490574034</v>
      </c>
      <c r="G18" s="3">
        <f t="shared" si="0"/>
        <v>34.2622119378314</v>
      </c>
      <c r="H18" s="47">
        <f>B18-D18</f>
        <v>49884.299999999974</v>
      </c>
      <c r="I18" s="47">
        <f t="shared" si="1"/>
        <v>237583.3999999999</v>
      </c>
    </row>
    <row r="19" spans="1:13" s="37" customFormat="1" ht="18.75">
      <c r="A19" s="104" t="s">
        <v>84</v>
      </c>
      <c r="B19" s="97">
        <v>100510.8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</f>
        <v>74390.30000000002</v>
      </c>
      <c r="E19" s="95">
        <f>D19/D18*100</f>
        <v>60.07584757157751</v>
      </c>
      <c r="F19" s="95">
        <f t="shared" si="3"/>
        <v>74.01224545024019</v>
      </c>
      <c r="G19" s="95">
        <f t="shared" si="0"/>
        <v>31.05995478183174</v>
      </c>
      <c r="H19" s="105">
        <f t="shared" si="2"/>
        <v>26120.499999999985</v>
      </c>
      <c r="I19" s="105">
        <f t="shared" si="1"/>
        <v>165115.19999999998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173711.6</v>
      </c>
      <c r="C25" s="43">
        <f>C18</f>
        <v>361410.69999999995</v>
      </c>
      <c r="D25" s="43">
        <f>D18</f>
        <v>123827.30000000003</v>
      </c>
      <c r="E25" s="1">
        <f>D25/D18*100</f>
        <v>100</v>
      </c>
      <c r="F25" s="1">
        <f t="shared" si="3"/>
        <v>71.28326490574034</v>
      </c>
      <c r="G25" s="1">
        <f t="shared" si="0"/>
        <v>34.2622119378314</v>
      </c>
      <c r="H25" s="44">
        <f t="shared" si="2"/>
        <v>49884.299999999974</v>
      </c>
      <c r="I25" s="44">
        <f t="shared" si="1"/>
        <v>237583.3999999999</v>
      </c>
    </row>
    <row r="26" spans="1:9" ht="57" hidden="1" thickBot="1">
      <c r="A26" s="96" t="s">
        <v>71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72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73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74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75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76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77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v>25157</v>
      </c>
      <c r="C33" s="46">
        <f>67303.3-3099.2</f>
        <v>64204.100000000006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</f>
        <v>20788.2</v>
      </c>
      <c r="E33" s="3">
        <f>D33/D151*100</f>
        <v>3.8075802133748304</v>
      </c>
      <c r="F33" s="3">
        <f>D33/B33*100</f>
        <v>82.63385936319911</v>
      </c>
      <c r="G33" s="3">
        <f t="shared" si="0"/>
        <v>32.37830605833584</v>
      </c>
      <c r="H33" s="47">
        <f t="shared" si="2"/>
        <v>4368.799999999999</v>
      </c>
      <c r="I33" s="47">
        <f t="shared" si="1"/>
        <v>43415.90000000001</v>
      </c>
    </row>
    <row r="34" spans="1:9" ht="18">
      <c r="A34" s="23" t="s">
        <v>3</v>
      </c>
      <c r="B34" s="42">
        <v>19712.1</v>
      </c>
      <c r="C34" s="43">
        <f>55535.9-3105.8</f>
        <v>52430.1</v>
      </c>
      <c r="D34" s="44">
        <f>1743.2+1833.7+1830.2+1935.3+81+1854.2+129.9+1804.7+34.4+1.5+1881.6+1967.7+0.1+1784.4</f>
        <v>16881.9</v>
      </c>
      <c r="E34" s="1">
        <f>D34/D33*100</f>
        <v>81.20905128871186</v>
      </c>
      <c r="F34" s="1">
        <f t="shared" si="3"/>
        <v>85.64232121387373</v>
      </c>
      <c r="G34" s="1">
        <f t="shared" si="0"/>
        <v>32.198870496146306</v>
      </c>
      <c r="H34" s="44">
        <f t="shared" si="2"/>
        <v>2830.199999999997</v>
      </c>
      <c r="I34" s="44">
        <f t="shared" si="1"/>
        <v>35548.2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v>1636.9</v>
      </c>
      <c r="C36" s="43">
        <v>2945.3</v>
      </c>
      <c r="D36" s="44">
        <f>5.4+1.2+41.8+16.1+2.9+29.7+160.9+0.8+93.4+46.9+11.2+0.1+15.2+184.7+9.2+183.2+0.9+11.9+0.1+174+0.1+59.2+12.8+2+8.2+325.6+7.6-0.1</f>
        <v>1405</v>
      </c>
      <c r="E36" s="1">
        <f>D36/D33*100</f>
        <v>6.758641921859517</v>
      </c>
      <c r="F36" s="1">
        <f t="shared" si="3"/>
        <v>85.83297696866026</v>
      </c>
      <c r="G36" s="1">
        <f t="shared" si="0"/>
        <v>47.703120225443925</v>
      </c>
      <c r="H36" s="44">
        <f t="shared" si="2"/>
        <v>231.9000000000001</v>
      </c>
      <c r="I36" s="44">
        <f t="shared" si="1"/>
        <v>1540.3000000000002</v>
      </c>
    </row>
    <row r="37" spans="1:9" s="37" customFormat="1" ht="18.75">
      <c r="A37" s="18" t="s">
        <v>7</v>
      </c>
      <c r="B37" s="51">
        <v>242.1</v>
      </c>
      <c r="C37" s="52">
        <v>856.1</v>
      </c>
      <c r="D37" s="53">
        <f>7.4+12.3+6.1+3.3+9.3+3.2</f>
        <v>41.60000000000001</v>
      </c>
      <c r="E37" s="17">
        <f>D37/D33*100</f>
        <v>0.2001135259426021</v>
      </c>
      <c r="F37" s="17">
        <f t="shared" si="3"/>
        <v>17.182982238744323</v>
      </c>
      <c r="G37" s="17">
        <f t="shared" si="0"/>
        <v>4.859245415255228</v>
      </c>
      <c r="H37" s="53">
        <f t="shared" si="2"/>
        <v>200.5</v>
      </c>
      <c r="I37" s="53">
        <f t="shared" si="1"/>
        <v>814.5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</f>
        <v>20.4</v>
      </c>
      <c r="E38" s="1">
        <f>D38/D33*100</f>
        <v>0.09813259445262215</v>
      </c>
      <c r="F38" s="1">
        <f t="shared" si="3"/>
        <v>80</v>
      </c>
      <c r="G38" s="1">
        <f t="shared" si="0"/>
        <v>25.247524752475247</v>
      </c>
      <c r="H38" s="44">
        <f t="shared" si="2"/>
        <v>5.100000000000001</v>
      </c>
      <c r="I38" s="44">
        <f t="shared" si="1"/>
        <v>60.4</v>
      </c>
    </row>
    <row r="39" spans="1:9" ht="18.75" thickBot="1">
      <c r="A39" s="23" t="s">
        <v>28</v>
      </c>
      <c r="B39" s="42">
        <f>B33-B34-B36-B37-B35-B38</f>
        <v>3540.4000000000015</v>
      </c>
      <c r="C39" s="42">
        <f>C33-C34-C36-C37-C35-C38</f>
        <v>7891.8000000000075</v>
      </c>
      <c r="D39" s="42">
        <f>D33-D34-D36-D37-D35-D38</f>
        <v>2439.2999999999993</v>
      </c>
      <c r="E39" s="1">
        <f>D39/D33*100</f>
        <v>11.73406066903339</v>
      </c>
      <c r="F39" s="1">
        <f t="shared" si="3"/>
        <v>68.89899446390233</v>
      </c>
      <c r="G39" s="1">
        <f t="shared" si="0"/>
        <v>30.90929825895229</v>
      </c>
      <c r="H39" s="44">
        <f>B39-D39</f>
        <v>1101.1000000000022</v>
      </c>
      <c r="I39" s="44">
        <f t="shared" si="1"/>
        <v>5452.500000000008</v>
      </c>
    </row>
    <row r="40" spans="1:9" ht="19.5" hidden="1" thickBot="1">
      <c r="A40" s="96" t="s">
        <v>68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69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70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987.1</v>
      </c>
      <c r="C43" s="46">
        <f>1548.6+6.6+21.9+503.3</f>
        <v>2080.4</v>
      </c>
      <c r="D43" s="47">
        <f>29.1+22+50.2+8.1+0.6+111.5+89.2+3+14.7+7.1+8.4+11.5+17.6+100.3+27.2+6.2-0.1+30.1+12.7+5+6.1+5+7.2+55.8+7.4+109.8-0.1+35</f>
        <v>780.5999999999999</v>
      </c>
      <c r="E43" s="3">
        <f>D43/D151*100</f>
        <v>0.14297520297863173</v>
      </c>
      <c r="F43" s="3">
        <f>D43/B43*100</f>
        <v>79.08013372505317</v>
      </c>
      <c r="G43" s="3">
        <f t="shared" si="0"/>
        <v>37.521630455681596</v>
      </c>
      <c r="H43" s="47">
        <f t="shared" si="2"/>
        <v>206.5000000000001</v>
      </c>
      <c r="I43" s="47">
        <f t="shared" si="1"/>
        <v>1299.8000000000002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4973.5</v>
      </c>
      <c r="C45" s="46">
        <v>11788</v>
      </c>
      <c r="D45" s="47">
        <f>102.9+155.5+3.1+3.7+452.3+6+17.2+314.1+59.3+95.2+2.2+579+1.9+71.6+375.2+7+7.3+568.3+0.1+96.1+326.4+4.1+518.1-0.1</f>
        <v>3766.5</v>
      </c>
      <c r="E45" s="3">
        <f>D45/D151*100</f>
        <v>0.6898745862400928</v>
      </c>
      <c r="F45" s="3">
        <f>D45/B45*100</f>
        <v>75.7313762943601</v>
      </c>
      <c r="G45" s="3">
        <f aca="true" t="shared" si="4" ref="G45:G76">D45/C45*100</f>
        <v>31.951985069562266</v>
      </c>
      <c r="H45" s="47">
        <f>B45-D45</f>
        <v>1207</v>
      </c>
      <c r="I45" s="47">
        <f aca="true" t="shared" si="5" ref="I45:I77">C45-D45</f>
        <v>8021.5</v>
      </c>
    </row>
    <row r="46" spans="1:9" ht="18">
      <c r="A46" s="23" t="s">
        <v>3</v>
      </c>
      <c r="B46" s="42">
        <v>4267.9</v>
      </c>
      <c r="C46" s="43">
        <v>10529.7</v>
      </c>
      <c r="D46" s="44">
        <f>102.7+154.9+447.3+314.1+572.1+284.8+559+325.4+510.8</f>
        <v>3271.1000000000004</v>
      </c>
      <c r="E46" s="1">
        <f>D46/D45*100</f>
        <v>86.84720562856765</v>
      </c>
      <c r="F46" s="1">
        <f aca="true" t="shared" si="6" ref="F46:F74">D46/B46*100</f>
        <v>76.64425127111696</v>
      </c>
      <c r="G46" s="1">
        <f t="shared" si="4"/>
        <v>31.065462453821098</v>
      </c>
      <c r="H46" s="44">
        <f aca="true" t="shared" si="7" ref="H46:H74">B46-D46</f>
        <v>996.7999999999993</v>
      </c>
      <c r="I46" s="44">
        <f t="shared" si="5"/>
        <v>7258.6</v>
      </c>
    </row>
    <row r="47" spans="1:9" ht="18">
      <c r="A47" s="23" t="s">
        <v>2</v>
      </c>
      <c r="B47" s="42">
        <v>0.8</v>
      </c>
      <c r="C47" s="43">
        <v>1.4</v>
      </c>
      <c r="D47" s="44">
        <f>0.4</f>
        <v>0.4</v>
      </c>
      <c r="E47" s="1">
        <f>D47/D45*100</f>
        <v>0.010619938935351124</v>
      </c>
      <c r="F47" s="1">
        <f t="shared" si="6"/>
        <v>50</v>
      </c>
      <c r="G47" s="1">
        <f t="shared" si="4"/>
        <v>28.571428571428577</v>
      </c>
      <c r="H47" s="44">
        <f t="shared" si="7"/>
        <v>0.4</v>
      </c>
      <c r="I47" s="44">
        <f t="shared" si="5"/>
        <v>0.9999999999999999</v>
      </c>
    </row>
    <row r="48" spans="1:9" ht="18">
      <c r="A48" s="23" t="s">
        <v>1</v>
      </c>
      <c r="B48" s="42">
        <v>32.4</v>
      </c>
      <c r="C48" s="43">
        <f>73.4+0.9</f>
        <v>74.30000000000001</v>
      </c>
      <c r="D48" s="44">
        <f>5.4+5.6+7.3</f>
        <v>18.3</v>
      </c>
      <c r="E48" s="1">
        <f>D48/D45*100</f>
        <v>0.4858622062923138</v>
      </c>
      <c r="F48" s="1">
        <f t="shared" si="6"/>
        <v>56.48148148148149</v>
      </c>
      <c r="G48" s="1">
        <f t="shared" si="4"/>
        <v>24.62987886944818</v>
      </c>
      <c r="H48" s="44">
        <f t="shared" si="7"/>
        <v>14.099999999999998</v>
      </c>
      <c r="I48" s="44">
        <f t="shared" si="5"/>
        <v>56.000000000000014</v>
      </c>
    </row>
    <row r="49" spans="1:9" ht="18">
      <c r="A49" s="23" t="s">
        <v>0</v>
      </c>
      <c r="B49" s="42">
        <v>547.1</v>
      </c>
      <c r="C49" s="43">
        <v>865.1</v>
      </c>
      <c r="D49" s="44">
        <f>3.1+3.5+1+0.7+59.3+95.2+2.2+6-0.1+53.5+89.7+6.2+7.2+73.9+0.4+4+3.2</f>
        <v>408.99999999999994</v>
      </c>
      <c r="E49" s="1">
        <f>D49/D45*100</f>
        <v>10.85888756139652</v>
      </c>
      <c r="F49" s="1">
        <f t="shared" si="6"/>
        <v>74.7578139279839</v>
      </c>
      <c r="G49" s="1">
        <f t="shared" si="4"/>
        <v>47.2777713559126</v>
      </c>
      <c r="H49" s="44">
        <f t="shared" si="7"/>
        <v>138.10000000000008</v>
      </c>
      <c r="I49" s="44">
        <f t="shared" si="5"/>
        <v>456.1000000000001</v>
      </c>
    </row>
    <row r="50" spans="1:9" ht="18.75" thickBot="1">
      <c r="A50" s="23" t="s">
        <v>28</v>
      </c>
      <c r="B50" s="43">
        <f>B45-B46-B49-B48-B47</f>
        <v>125.30000000000034</v>
      </c>
      <c r="C50" s="43">
        <f>C45-C46-C49-C48-C47</f>
        <v>317.49999999999926</v>
      </c>
      <c r="D50" s="43">
        <f>D45-D46-D49-D48-D47</f>
        <v>67.69999999999969</v>
      </c>
      <c r="E50" s="1">
        <f>D50/D45*100</f>
        <v>1.797424664808169</v>
      </c>
      <c r="F50" s="1">
        <f t="shared" si="6"/>
        <v>54.03032721468436</v>
      </c>
      <c r="G50" s="1">
        <f t="shared" si="4"/>
        <v>21.322834645669246</v>
      </c>
      <c r="H50" s="44">
        <f t="shared" si="7"/>
        <v>57.60000000000065</v>
      </c>
      <c r="I50" s="44">
        <f t="shared" si="5"/>
        <v>249.79999999999956</v>
      </c>
    </row>
    <row r="51" spans="1:9" ht="18.75" thickBot="1">
      <c r="A51" s="22" t="s">
        <v>4</v>
      </c>
      <c r="B51" s="45">
        <f>11337.9-60</f>
        <v>11277.9</v>
      </c>
      <c r="C51" s="46">
        <f>23558.7+50+2250-940.4</f>
        <v>24918.3</v>
      </c>
      <c r="D51" s="47">
        <f>475.9+7.8+935.8+30.7-0.1+8+35.8+34+6+454.4+67.8+74.7+41.8+81.6+68+973+34+4.9+131.2+59.3+568.8+113.2+131.2+51.5+32.5+2.5+9+29.3+48.7+24.6+895.5+47.8+195.2+85.2+498.7+48.5+15.2+20.1+884.8+122.4+110.8+0.3+163.9</f>
        <v>7624.3</v>
      </c>
      <c r="E51" s="3">
        <f>D51/D151*100</f>
        <v>1.3964717397770714</v>
      </c>
      <c r="F51" s="3">
        <f>D51/B51*100</f>
        <v>67.60389788879135</v>
      </c>
      <c r="G51" s="3">
        <f t="shared" si="4"/>
        <v>30.59719162222142</v>
      </c>
      <c r="H51" s="47">
        <f>B51-D51</f>
        <v>3653.5999999999995</v>
      </c>
      <c r="I51" s="47">
        <f t="shared" si="5"/>
        <v>17294</v>
      </c>
    </row>
    <row r="52" spans="1:9" ht="18">
      <c r="A52" s="23" t="s">
        <v>3</v>
      </c>
      <c r="B52" s="42">
        <v>6235.2</v>
      </c>
      <c r="C52" s="43">
        <f>16189.8-940.4</f>
        <v>15249.4</v>
      </c>
      <c r="D52" s="44">
        <f>392.4+738.8+389.6+752.9+403.1+730.4+397.8+724.9+1.1+0.1</f>
        <v>4531.1</v>
      </c>
      <c r="E52" s="1">
        <f>D52/D51*100</f>
        <v>59.429718138058576</v>
      </c>
      <c r="F52" s="1">
        <f t="shared" si="6"/>
        <v>72.66968180651784</v>
      </c>
      <c r="G52" s="1">
        <f t="shared" si="4"/>
        <v>29.71330019541753</v>
      </c>
      <c r="H52" s="44">
        <f t="shared" si="7"/>
        <v>1704.0999999999995</v>
      </c>
      <c r="I52" s="44">
        <f t="shared" si="5"/>
        <v>10718.3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356.8</v>
      </c>
      <c r="C54" s="43">
        <v>810.2</v>
      </c>
      <c r="D54" s="44">
        <f>1.9+1.9+0.5+7.4+2.1+1.2+12.9+5.1+0.1+4.5+16.8+19.2+9.7+3.1+1.1+1.4+2.5+5.7+19.9+0.8+28.2+4+19.8+8.2+38.7+4.3+0.2+18.2</f>
        <v>239.39999999999998</v>
      </c>
      <c r="E54" s="1">
        <f>D54/D51*100</f>
        <v>3.139960389806277</v>
      </c>
      <c r="F54" s="1">
        <f t="shared" si="6"/>
        <v>67.0964125560538</v>
      </c>
      <c r="G54" s="1">
        <f t="shared" si="4"/>
        <v>29.548259688965683</v>
      </c>
      <c r="H54" s="44">
        <f t="shared" si="7"/>
        <v>117.40000000000003</v>
      </c>
      <c r="I54" s="44">
        <f t="shared" si="5"/>
        <v>570.8000000000001</v>
      </c>
    </row>
    <row r="55" spans="1:9" ht="18">
      <c r="A55" s="23" t="s">
        <v>0</v>
      </c>
      <c r="B55" s="42">
        <v>650.3</v>
      </c>
      <c r="C55" s="43">
        <v>1048.5</v>
      </c>
      <c r="D55" s="44">
        <f>0.5+0.6+7.5+73.9+2.1+51.2+20.8+16.3+5.9+0.4+16.8+14.9+10.4+71.4+0.3+1.2+1.4+16+1.2+0.1+25+43+3.8+1.3+4.1+73.9-0.2+14.3</f>
        <v>478.10000000000014</v>
      </c>
      <c r="E55" s="1">
        <f>D55/D51*100</f>
        <v>6.270739608882129</v>
      </c>
      <c r="F55" s="1">
        <f t="shared" si="6"/>
        <v>73.51991388589884</v>
      </c>
      <c r="G55" s="1">
        <f t="shared" si="4"/>
        <v>45.59847401049119</v>
      </c>
      <c r="H55" s="44">
        <f t="shared" si="7"/>
        <v>172.19999999999982</v>
      </c>
      <c r="I55" s="44">
        <f t="shared" si="5"/>
        <v>570.3999999999999</v>
      </c>
    </row>
    <row r="56" spans="1:9" ht="18">
      <c r="A56" s="23" t="s">
        <v>14</v>
      </c>
      <c r="B56" s="42">
        <v>216.2</v>
      </c>
      <c r="C56" s="43">
        <v>518.9</v>
      </c>
      <c r="D56" s="43">
        <f>34+46+40+40</f>
        <v>160</v>
      </c>
      <c r="E56" s="1">
        <f>D56/D51*100</f>
        <v>2.098553309812048</v>
      </c>
      <c r="F56" s="1">
        <f>D56/B56*100</f>
        <v>74.00555041628122</v>
      </c>
      <c r="G56" s="1">
        <f>D56/C56*100</f>
        <v>30.834457506263252</v>
      </c>
      <c r="H56" s="44">
        <f t="shared" si="7"/>
        <v>56.19999999999999</v>
      </c>
      <c r="I56" s="44">
        <f t="shared" si="5"/>
        <v>358.9</v>
      </c>
    </row>
    <row r="57" spans="1:9" ht="18.75" thickBot="1">
      <c r="A57" s="23" t="s">
        <v>28</v>
      </c>
      <c r="B57" s="43">
        <f>B51-B52-B55-B54-B53-B56</f>
        <v>3819.3999999999996</v>
      </c>
      <c r="C57" s="43">
        <f>C51-C52-C55-C54-C53-C56</f>
        <v>7278.3</v>
      </c>
      <c r="D57" s="43">
        <f>D51-D52-D55-D54-D53-D56</f>
        <v>2215.6999999999994</v>
      </c>
      <c r="E57" s="1">
        <f>D57/D51*100</f>
        <v>29.061028553440966</v>
      </c>
      <c r="F57" s="1">
        <f t="shared" si="6"/>
        <v>58.011729591035234</v>
      </c>
      <c r="G57" s="1">
        <f t="shared" si="4"/>
        <v>30.442548397290565</v>
      </c>
      <c r="H57" s="44">
        <f>B57-D57</f>
        <v>1603.7000000000003</v>
      </c>
      <c r="I57" s="44">
        <f>C57-D57</f>
        <v>5062.6</v>
      </c>
    </row>
    <row r="58" spans="1:9" s="37" customFormat="1" ht="19.5" hidden="1" thickBot="1">
      <c r="A58" s="96" t="s">
        <v>67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2012.5</v>
      </c>
      <c r="C59" s="46">
        <f>7844.6+200</f>
        <v>8044.6</v>
      </c>
      <c r="D59" s="47">
        <f>55.6+0.2+146.1+0.4+60.8+0.4+59.3+73.6+0.1+18.6+1.9+67.3+0.4+57.5+0.6+144.6-4.5+32.9+1.2+79.7+73.5+4+0.1+78.7+72.2+0.1+9.9</f>
        <v>1035.2000000000003</v>
      </c>
      <c r="E59" s="3">
        <f>D59/D151*100</f>
        <v>0.18960790433446018</v>
      </c>
      <c r="F59" s="3">
        <f>D59/B59*100</f>
        <v>51.4385093167702</v>
      </c>
      <c r="G59" s="3">
        <f t="shared" si="4"/>
        <v>12.868259453546482</v>
      </c>
      <c r="H59" s="47">
        <f>B59-D59</f>
        <v>977.2999999999997</v>
      </c>
      <c r="I59" s="47">
        <f t="shared" si="5"/>
        <v>7009.4</v>
      </c>
    </row>
    <row r="60" spans="1:9" ht="18">
      <c r="A60" s="23" t="s">
        <v>3</v>
      </c>
      <c r="B60" s="42">
        <v>1192.7</v>
      </c>
      <c r="C60" s="43">
        <v>2900.3</v>
      </c>
      <c r="D60" s="44">
        <f>55.6+146.1+60.8+59.3+73.6+0.1+67.3+144.6-4.5+79.7+66.8+72.2-0.1</f>
        <v>821.5</v>
      </c>
      <c r="E60" s="1">
        <f>D60/D59*100</f>
        <v>79.3566460587326</v>
      </c>
      <c r="F60" s="1">
        <f t="shared" si="6"/>
        <v>68.87733713423326</v>
      </c>
      <c r="G60" s="1">
        <f t="shared" si="4"/>
        <v>28.324656070061714</v>
      </c>
      <c r="H60" s="44">
        <f t="shared" si="7"/>
        <v>371.20000000000005</v>
      </c>
      <c r="I60" s="44">
        <f t="shared" si="5"/>
        <v>2078.8</v>
      </c>
    </row>
    <row r="61" spans="1:9" ht="18">
      <c r="A61" s="23" t="s">
        <v>1</v>
      </c>
      <c r="B61" s="42">
        <v>343.7</v>
      </c>
      <c r="C61" s="43">
        <f>337.1+6</f>
        <v>343.1</v>
      </c>
      <c r="D61" s="44">
        <v>3.2</v>
      </c>
      <c r="E61" s="1">
        <f>D61/D59*100</f>
        <v>0.3091190108191653</v>
      </c>
      <c r="F61" s="1">
        <f>D61/B61*100</f>
        <v>0.9310445155659005</v>
      </c>
      <c r="G61" s="1">
        <f t="shared" si="4"/>
        <v>0.9326726901777908</v>
      </c>
      <c r="H61" s="44">
        <f t="shared" si="7"/>
        <v>340.5</v>
      </c>
      <c r="I61" s="44">
        <f t="shared" si="5"/>
        <v>339.90000000000003</v>
      </c>
    </row>
    <row r="62" spans="1:9" ht="18">
      <c r="A62" s="23" t="s">
        <v>0</v>
      </c>
      <c r="B62" s="42">
        <v>237.8</v>
      </c>
      <c r="C62" s="43">
        <v>451.8</v>
      </c>
      <c r="D62" s="44">
        <f>0.4+18.6+55.1+0.5+32.9+0.7+67.5+3.7+0.4+6.3</f>
        <v>186.1</v>
      </c>
      <c r="E62" s="1">
        <f>D62/D59*100</f>
        <v>17.97720247295208</v>
      </c>
      <c r="F62" s="1">
        <f t="shared" si="6"/>
        <v>78.25904121110176</v>
      </c>
      <c r="G62" s="1">
        <f t="shared" si="4"/>
        <v>41.19079238601151</v>
      </c>
      <c r="H62" s="44">
        <f t="shared" si="7"/>
        <v>51.70000000000002</v>
      </c>
      <c r="I62" s="44">
        <f t="shared" si="5"/>
        <v>265.70000000000005</v>
      </c>
    </row>
    <row r="63" spans="1:9" ht="18">
      <c r="A63" s="23" t="s">
        <v>14</v>
      </c>
      <c r="B63" s="42">
        <v>0</v>
      </c>
      <c r="C63" s="43">
        <v>3707.1</v>
      </c>
      <c r="D63" s="44"/>
      <c r="E63" s="1">
        <f>D63/D59*100</f>
        <v>0</v>
      </c>
      <c r="F63" s="103" t="e">
        <f t="shared" si="6"/>
        <v>#DIV/0!</v>
      </c>
      <c r="G63" s="1">
        <f t="shared" si="4"/>
        <v>0</v>
      </c>
      <c r="H63" s="44">
        <f t="shared" si="7"/>
        <v>0</v>
      </c>
      <c r="I63" s="44">
        <f t="shared" si="5"/>
        <v>3707.1</v>
      </c>
    </row>
    <row r="64" spans="1:9" ht="18.75" thickBot="1">
      <c r="A64" s="23" t="s">
        <v>28</v>
      </c>
      <c r="B64" s="43">
        <f>B59-B60-B62-B63-B61</f>
        <v>238.3</v>
      </c>
      <c r="C64" s="43">
        <f>C59-C60-C62-C63-C61</f>
        <v>642.3000000000001</v>
      </c>
      <c r="D64" s="43">
        <f>D59-D60-D62-D63-D61</f>
        <v>24.40000000000028</v>
      </c>
      <c r="E64" s="1">
        <f>D64/D59*100</f>
        <v>2.3570324574961625</v>
      </c>
      <c r="F64" s="1">
        <f t="shared" si="6"/>
        <v>10.239194292908216</v>
      </c>
      <c r="G64" s="1">
        <f t="shared" si="4"/>
        <v>3.79884789039394</v>
      </c>
      <c r="H64" s="44">
        <f t="shared" si="7"/>
        <v>213.89999999999972</v>
      </c>
      <c r="I64" s="44">
        <f t="shared" si="5"/>
        <v>617.8999999999997</v>
      </c>
    </row>
    <row r="65" spans="1:9" s="37" customFormat="1" ht="19.5" hidden="1" thickBot="1">
      <c r="A65" s="96" t="s">
        <v>78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64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65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66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328.2</v>
      </c>
      <c r="C69" s="46">
        <f>C70+C71</f>
        <v>460.5</v>
      </c>
      <c r="D69" s="47">
        <f>SUM(D70:D71)</f>
        <v>230.79999999999995</v>
      </c>
      <c r="E69" s="35">
        <f>D69/D151*100</f>
        <v>0.042273477898370736</v>
      </c>
      <c r="F69" s="3">
        <f>D69/B69*100</f>
        <v>70.32297379646556</v>
      </c>
      <c r="G69" s="3">
        <f t="shared" si="4"/>
        <v>50.119435396308354</v>
      </c>
      <c r="H69" s="47">
        <f>B69-D69</f>
        <v>97.40000000000003</v>
      </c>
      <c r="I69" s="47">
        <f t="shared" si="5"/>
        <v>229.70000000000005</v>
      </c>
    </row>
    <row r="70" spans="1:9" ht="18">
      <c r="A70" s="23" t="s">
        <v>8</v>
      </c>
      <c r="B70" s="42">
        <v>288.5</v>
      </c>
      <c r="C70" s="43">
        <f>289</f>
        <v>289</v>
      </c>
      <c r="D70" s="44">
        <f>19.2+1.5+170.6+1.2+17.7+0.1+11+3</f>
        <v>224.29999999999995</v>
      </c>
      <c r="E70" s="1">
        <f>D70/D69*100</f>
        <v>97.18370883882149</v>
      </c>
      <c r="F70" s="1">
        <f t="shared" si="6"/>
        <v>77.74696707105717</v>
      </c>
      <c r="G70" s="1">
        <f t="shared" si="4"/>
        <v>77.61245674740482</v>
      </c>
      <c r="H70" s="44">
        <f t="shared" si="7"/>
        <v>64.20000000000005</v>
      </c>
      <c r="I70" s="44">
        <f t="shared" si="5"/>
        <v>64.70000000000005</v>
      </c>
    </row>
    <row r="71" spans="1:9" ht="18.75" thickBot="1">
      <c r="A71" s="23" t="s">
        <v>9</v>
      </c>
      <c r="B71" s="42">
        <v>39.7</v>
      </c>
      <c r="C71" s="43">
        <f>267.3-68.6-27.9+0.7</f>
        <v>171.5</v>
      </c>
      <c r="D71" s="44">
        <f>6.5</f>
        <v>6.5</v>
      </c>
      <c r="E71" s="1">
        <f>D71/D70*100</f>
        <v>2.8979045920642004</v>
      </c>
      <c r="F71" s="1">
        <f t="shared" si="6"/>
        <v>16.3727959697733</v>
      </c>
      <c r="G71" s="1">
        <f t="shared" si="4"/>
        <v>3.7900874635568513</v>
      </c>
      <c r="H71" s="44">
        <f t="shared" si="7"/>
        <v>33.2</v>
      </c>
      <c r="I71" s="44">
        <f t="shared" si="5"/>
        <v>165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4066.7</v>
      </c>
      <c r="C77" s="62">
        <f>10000-100-5823.7</f>
        <v>4076.3</v>
      </c>
      <c r="D77" s="63"/>
      <c r="E77" s="41"/>
      <c r="F77" s="41"/>
      <c r="G77" s="41"/>
      <c r="H77" s="63">
        <f>B77-D77</f>
        <v>4066.7</v>
      </c>
      <c r="I77" s="63">
        <f t="shared" si="5"/>
        <v>4076.3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1"/>
    </row>
    <row r="79" spans="1:9" ht="18.75" customHeight="1" hidden="1" thickBot="1">
      <c r="A79" s="13" t="s">
        <v>58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57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v>68272</v>
      </c>
      <c r="C90" s="46">
        <f>157960+265+0.3</f>
        <v>158225.3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</f>
        <v>30768.7</v>
      </c>
      <c r="E90" s="3">
        <f>D90/D151*100</f>
        <v>5.6356150754402075</v>
      </c>
      <c r="F90" s="3">
        <f aca="true" t="shared" si="10" ref="F90:F96">D90/B90*100</f>
        <v>45.06781696742442</v>
      </c>
      <c r="G90" s="3">
        <f t="shared" si="8"/>
        <v>19.446131560502653</v>
      </c>
      <c r="H90" s="47">
        <f aca="true" t="shared" si="11" ref="H90:H96">B90-D90</f>
        <v>37503.3</v>
      </c>
      <c r="I90" s="47">
        <f t="shared" si="9"/>
        <v>127456.59999999999</v>
      </c>
    </row>
    <row r="91" spans="1:9" ht="18">
      <c r="A91" s="23" t="s">
        <v>3</v>
      </c>
      <c r="B91" s="42">
        <v>62378.4</v>
      </c>
      <c r="C91" s="43">
        <f>148246.2-137.7-228.3</f>
        <v>147880.2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</f>
        <v>27704.3</v>
      </c>
      <c r="E91" s="1">
        <f>D91/D90*100</f>
        <v>90.04052819911142</v>
      </c>
      <c r="F91" s="1">
        <f t="shared" si="10"/>
        <v>44.41329049799289</v>
      </c>
      <c r="G91" s="1">
        <f t="shared" si="8"/>
        <v>18.734286266856547</v>
      </c>
      <c r="H91" s="44">
        <f t="shared" si="11"/>
        <v>34674.100000000006</v>
      </c>
      <c r="I91" s="44">
        <f t="shared" si="9"/>
        <v>120175.90000000001</v>
      </c>
    </row>
    <row r="92" spans="1:9" ht="18">
      <c r="A92" s="23" t="s">
        <v>26</v>
      </c>
      <c r="B92" s="42">
        <v>1599.6</v>
      </c>
      <c r="C92" s="43">
        <v>2620.6</v>
      </c>
      <c r="D92" s="44">
        <f>48.5+5.1+5+1.3+22.8+67.3+62.7+3.5+1.4+40.6+112.7+571.4+55.5+1.7+2.4+3.1+83.6+0.9</f>
        <v>1089.5</v>
      </c>
      <c r="E92" s="1">
        <f>D92/D90*100</f>
        <v>3.5409360811474</v>
      </c>
      <c r="F92" s="1">
        <f t="shared" si="10"/>
        <v>68.1107776944236</v>
      </c>
      <c r="G92" s="1">
        <f t="shared" si="8"/>
        <v>41.57444859955736</v>
      </c>
      <c r="H92" s="44">
        <f t="shared" si="11"/>
        <v>510.0999999999999</v>
      </c>
      <c r="I92" s="44">
        <f t="shared" si="9"/>
        <v>1531.1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4293.999999999998</v>
      </c>
      <c r="C94" s="43">
        <f>C90-C91-C92-C93</f>
        <v>7724.499999999976</v>
      </c>
      <c r="D94" s="43">
        <f>D90-D91-D92-D93</f>
        <v>1974.9000000000015</v>
      </c>
      <c r="E94" s="1">
        <f>D94/D90*100</f>
        <v>6.41853571974117</v>
      </c>
      <c r="F94" s="1">
        <f t="shared" si="10"/>
        <v>45.99208197484868</v>
      </c>
      <c r="G94" s="1">
        <f>D94/C94*100</f>
        <v>25.566703346495018</v>
      </c>
      <c r="H94" s="44">
        <f t="shared" si="11"/>
        <v>2319.0999999999967</v>
      </c>
      <c r="I94" s="44">
        <f>C94-D94</f>
        <v>5749.599999999975</v>
      </c>
    </row>
    <row r="95" spans="1:9" ht="18.75">
      <c r="A95" s="108" t="s">
        <v>12</v>
      </c>
      <c r="B95" s="111">
        <f>29018.3-90</f>
        <v>28928.3</v>
      </c>
      <c r="C95" s="113">
        <f>59880.5+5316.8</f>
        <v>65197.3</v>
      </c>
      <c r="D95" s="112">
        <f>158.8+434.4+321.9+32+1220.1+1621.7+82.6+1043.7+489.5+1835.3+427.5+91.3+190+524+63.3+11.3+68.3+293.9+953+327.8+2372.9+1+6.8+217.3+273.2+68.3-0.1+331.5+504+66.1+441.2+942.7+2276+81.9+57.4+38+675.8+274.5+35.7+263.7+3+29.9+269.5+461.5+44+1097.8+83.4+297.1+443.8+1.5</f>
        <v>21849.8</v>
      </c>
      <c r="E95" s="107">
        <f>D95/D151*100</f>
        <v>4.002023558855377</v>
      </c>
      <c r="F95" s="110">
        <f t="shared" si="10"/>
        <v>75.53088152432046</v>
      </c>
      <c r="G95" s="106">
        <f>D95/C95*100</f>
        <v>33.513351013002065</v>
      </c>
      <c r="H95" s="112">
        <f t="shared" si="11"/>
        <v>7078.5</v>
      </c>
      <c r="I95" s="122">
        <f>C95-D95</f>
        <v>43347.5</v>
      </c>
    </row>
    <row r="96" spans="1:9" ht="18.75" thickBot="1">
      <c r="A96" s="109" t="s">
        <v>85</v>
      </c>
      <c r="B96" s="114">
        <v>4344.7</v>
      </c>
      <c r="C96" s="115">
        <f>10660.3-133.5</f>
        <v>10526.8</v>
      </c>
      <c r="D96" s="116">
        <f>69.1+1043.7+68.3+1051.8+1+68.3+66.1+938.4+3+68.7</f>
        <v>3378.3999999999996</v>
      </c>
      <c r="E96" s="117">
        <f>D96/D95*100</f>
        <v>15.461926424955832</v>
      </c>
      <c r="F96" s="118">
        <f t="shared" si="10"/>
        <v>77.75910879922664</v>
      </c>
      <c r="G96" s="119">
        <f>D96/C96*100</f>
        <v>32.09332370710947</v>
      </c>
      <c r="H96" s="123">
        <f t="shared" si="11"/>
        <v>966.3000000000002</v>
      </c>
      <c r="I96" s="124">
        <f>C96-D96</f>
        <v>7148.4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1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1"/>
    </row>
    <row r="102" spans="1:9" s="37" customFormat="1" ht="19.5" thickBot="1">
      <c r="A102" s="13" t="s">
        <v>11</v>
      </c>
      <c r="B102" s="128">
        <v>6026.8</v>
      </c>
      <c r="C102" s="92">
        <f>12999.2-348+46.7-53.7+124.7</f>
        <v>12768.900000000001</v>
      </c>
      <c r="D102" s="79">
        <f>139.4+4+202+15.3+32.9+18.1+0.4+4+39.7+141.6+9.9+31.3+27.6+1.1+399+127.2+7.6+63.2+113+70.6+140+195.7+6.2+179.8+200.1+39.2+404.4+43.9+5.5+14.3+123.2+146.6+30.6+5+8.3+5+134.6+84.2+7.5+24+0.1+12.8+4.1+20</f>
        <v>3282.9999999999995</v>
      </c>
      <c r="E102" s="19">
        <f>D102/D151*100</f>
        <v>0.6013164122198923</v>
      </c>
      <c r="F102" s="19">
        <f>D102/B102*100</f>
        <v>54.47335235946107</v>
      </c>
      <c r="G102" s="19">
        <f aca="true" t="shared" si="12" ref="G102:G149">D102/C102*100</f>
        <v>25.71090696927691</v>
      </c>
      <c r="H102" s="79">
        <f aca="true" t="shared" si="13" ref="H102:H107">B102-D102</f>
        <v>2743.8000000000006</v>
      </c>
      <c r="I102" s="79">
        <f aca="true" t="shared" si="14" ref="I102:I149">C102-D102</f>
        <v>9485.900000000001</v>
      </c>
    </row>
    <row r="103" spans="1:9" ht="18">
      <c r="A103" s="23" t="s">
        <v>3</v>
      </c>
      <c r="B103" s="89">
        <v>108.2</v>
      </c>
      <c r="C103" s="87">
        <v>259.1</v>
      </c>
      <c r="D103" s="87">
        <f>17.3+10+11+0.1</f>
        <v>38.4</v>
      </c>
      <c r="E103" s="83">
        <f>D103/D102*100</f>
        <v>1.1696618946085897</v>
      </c>
      <c r="F103" s="1">
        <f>D103/B103*100</f>
        <v>35.48983364140481</v>
      </c>
      <c r="G103" s="83">
        <f>D103/C103*100</f>
        <v>14.820532612890775</v>
      </c>
      <c r="H103" s="87">
        <f t="shared" si="13"/>
        <v>69.80000000000001</v>
      </c>
      <c r="I103" s="87">
        <f t="shared" si="14"/>
        <v>220.70000000000002</v>
      </c>
    </row>
    <row r="104" spans="1:9" ht="18">
      <c r="A104" s="85" t="s">
        <v>49</v>
      </c>
      <c r="B104" s="74">
        <v>5027.7</v>
      </c>
      <c r="C104" s="44">
        <f>10720.8-348+46.7-56.3+125.1</f>
        <v>10488.300000000001</v>
      </c>
      <c r="D104" s="44">
        <f>139.3+4+202+15.3-0.1+4+25.4+141.4+9.8+31.2+1.1+390.1+50+2+0.1+51.6+111.9+69.9+132+193.8+143.3+175.1+39.1+393+24.9+117+131.2+30.6+5+5+134.6</f>
        <v>2773.6</v>
      </c>
      <c r="E104" s="1">
        <f>D104/D102*100</f>
        <v>84.48370392933293</v>
      </c>
      <c r="F104" s="1">
        <f aca="true" t="shared" si="15" ref="F104:F149">D104/B104*100</f>
        <v>55.16637826441514</v>
      </c>
      <c r="G104" s="1">
        <f t="shared" si="12"/>
        <v>26.444705052296364</v>
      </c>
      <c r="H104" s="44">
        <f t="shared" si="13"/>
        <v>2254.1</v>
      </c>
      <c r="I104" s="44">
        <f t="shared" si="14"/>
        <v>7714.700000000001</v>
      </c>
    </row>
    <row r="105" spans="1:9" ht="54.75" hidden="1" thickBot="1">
      <c r="A105" s="86" t="s">
        <v>81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4">
        <f t="shared" si="13"/>
        <v>0</v>
      </c>
      <c r="I105" s="124">
        <f>C105-D105</f>
        <v>0</v>
      </c>
    </row>
    <row r="106" spans="1:9" ht="18.75" thickBot="1">
      <c r="A106" s="86" t="s">
        <v>28</v>
      </c>
      <c r="B106" s="88">
        <f>B102-B103-B104</f>
        <v>890.9000000000005</v>
      </c>
      <c r="C106" s="88">
        <f>C102-C103-C104</f>
        <v>2021.5</v>
      </c>
      <c r="D106" s="88">
        <f>D102-D103-D104</f>
        <v>470.99999999999955</v>
      </c>
      <c r="E106" s="84">
        <f>D106/D102*100</f>
        <v>14.34663417605847</v>
      </c>
      <c r="F106" s="84">
        <f t="shared" si="15"/>
        <v>52.86788640700407</v>
      </c>
      <c r="G106" s="84">
        <f t="shared" si="12"/>
        <v>23.299530051941606</v>
      </c>
      <c r="H106" s="124">
        <f>B106-D106</f>
        <v>419.900000000001</v>
      </c>
      <c r="I106" s="124">
        <f t="shared" si="14"/>
        <v>1550.5000000000005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138084.7</v>
      </c>
      <c r="C107" s="81">
        <f>SUM(C108:C148)-C115-C119+C149-C140-C141-C109-C112-C122-C123-C138-C131-C129-C136</f>
        <v>535627.7999999999</v>
      </c>
      <c r="D107" s="81">
        <f>SUM(D108:D148)-D115-D119+D149-D140-D141-D109-D112-D122-D123-D138-D131-D129-D136</f>
        <v>121086.50000000001</v>
      </c>
      <c r="E107" s="82">
        <f>D107/D151*100</f>
        <v>22.178281982413647</v>
      </c>
      <c r="F107" s="82">
        <f>D107/B107*100</f>
        <v>87.69001924181318</v>
      </c>
      <c r="G107" s="82">
        <f t="shared" si="12"/>
        <v>22.60646292070726</v>
      </c>
      <c r="H107" s="81">
        <f t="shared" si="13"/>
        <v>16998.199999999997</v>
      </c>
      <c r="I107" s="81">
        <f t="shared" si="14"/>
        <v>414541.29999999993</v>
      </c>
    </row>
    <row r="108" spans="1:9" ht="37.5">
      <c r="A108" s="28" t="s">
        <v>53</v>
      </c>
      <c r="B108" s="71">
        <v>2034.1</v>
      </c>
      <c r="C108" s="67">
        <v>4095.6</v>
      </c>
      <c r="D108" s="72">
        <f>12.6+3.2+110.8+149.9+0.1+86+66+19.9+30.9+1.3+4.4+3.9+8.5+1.6+0.1+167.2+12.2+0.7+2+1.4+0.1+115.6+14.7+10.7</f>
        <v>823.8000000000002</v>
      </c>
      <c r="E108" s="6">
        <f>D108/D107*100</f>
        <v>0.6803400874581396</v>
      </c>
      <c r="F108" s="6">
        <f t="shared" si="15"/>
        <v>40.499483801189726</v>
      </c>
      <c r="G108" s="6">
        <f t="shared" si="12"/>
        <v>20.11426897157926</v>
      </c>
      <c r="H108" s="61">
        <f aca="true" t="shared" si="16" ref="H108:H149">B108-D108</f>
        <v>1210.2999999999997</v>
      </c>
      <c r="I108" s="61">
        <f t="shared" si="14"/>
        <v>3271.7999999999997</v>
      </c>
    </row>
    <row r="109" spans="1:9" ht="18">
      <c r="A109" s="23" t="s">
        <v>26</v>
      </c>
      <c r="B109" s="74">
        <v>1377.6</v>
      </c>
      <c r="C109" s="44">
        <v>2633.8</v>
      </c>
      <c r="D109" s="75">
        <f>68.3+138.7+47.8+60.9+18.1+30+81.4+40.6+14.7+2.7</f>
        <v>503.20000000000005</v>
      </c>
      <c r="E109" s="1">
        <f>D109/D108*100</f>
        <v>61.08278708424374</v>
      </c>
      <c r="F109" s="1">
        <f t="shared" si="15"/>
        <v>36.52729384436702</v>
      </c>
      <c r="G109" s="1">
        <f t="shared" si="12"/>
        <v>19.105474979117627</v>
      </c>
      <c r="H109" s="44">
        <f t="shared" si="16"/>
        <v>874.3999999999999</v>
      </c>
      <c r="I109" s="44">
        <f t="shared" si="14"/>
        <v>2130.6000000000004</v>
      </c>
    </row>
    <row r="110" spans="1:9" ht="34.5" customHeight="1">
      <c r="A110" s="16" t="s">
        <v>80</v>
      </c>
      <c r="B110" s="73">
        <v>569.7</v>
      </c>
      <c r="C110" s="61">
        <v>1175.4</v>
      </c>
      <c r="D110" s="72">
        <f>11.8+87.5</f>
        <v>99.3</v>
      </c>
      <c r="E110" s="6">
        <f>D110/D107*100</f>
        <v>0.08200749051298037</v>
      </c>
      <c r="F110" s="6">
        <f>D110/B110*100</f>
        <v>17.43022643496577</v>
      </c>
      <c r="G110" s="6">
        <f t="shared" si="12"/>
        <v>8.448187850944358</v>
      </c>
      <c r="H110" s="61">
        <f t="shared" si="16"/>
        <v>470.40000000000003</v>
      </c>
      <c r="I110" s="61">
        <f t="shared" si="14"/>
        <v>1076.1000000000001</v>
      </c>
    </row>
    <row r="111" spans="1:9" s="37" customFormat="1" ht="34.5" customHeight="1">
      <c r="A111" s="16" t="s">
        <v>99</v>
      </c>
      <c r="B111" s="73">
        <v>36.6</v>
      </c>
      <c r="C111" s="53">
        <v>196.7</v>
      </c>
      <c r="D111" s="76"/>
      <c r="E111" s="6">
        <f>D111/D107*100</f>
        <v>0</v>
      </c>
      <c r="F111" s="125">
        <f t="shared" si="15"/>
        <v>0</v>
      </c>
      <c r="G111" s="6">
        <f t="shared" si="12"/>
        <v>0</v>
      </c>
      <c r="H111" s="61">
        <f t="shared" si="16"/>
        <v>36.6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94</v>
      </c>
      <c r="B113" s="73">
        <v>44</v>
      </c>
      <c r="C113" s="61">
        <v>60</v>
      </c>
      <c r="D113" s="72"/>
      <c r="E113" s="6">
        <f>D113/D107*100</f>
        <v>0</v>
      </c>
      <c r="F113" s="125">
        <f t="shared" si="15"/>
        <v>0</v>
      </c>
      <c r="G113" s="6">
        <f t="shared" si="12"/>
        <v>0</v>
      </c>
      <c r="H113" s="61">
        <f t="shared" si="16"/>
        <v>44</v>
      </c>
      <c r="I113" s="61">
        <f t="shared" si="14"/>
        <v>60</v>
      </c>
    </row>
    <row r="114" spans="1:9" ht="37.5">
      <c r="A114" s="16" t="s">
        <v>39</v>
      </c>
      <c r="B114" s="73">
        <v>1344.3</v>
      </c>
      <c r="C114" s="61">
        <v>2915.4</v>
      </c>
      <c r="D114" s="72">
        <f>136.4+40+10+2+0.1+10.6+142+54.3+10.6+6.6+21.9+41.3+8.2+239.5+0.2+6.2+0.7+26.9+145.7+54.9+4</f>
        <v>962.1</v>
      </c>
      <c r="E114" s="6">
        <f>D114/D107*100</f>
        <v>0.7945559579309005</v>
      </c>
      <c r="F114" s="6">
        <f t="shared" si="15"/>
        <v>71.56884623967865</v>
      </c>
      <c r="G114" s="6">
        <f t="shared" si="12"/>
        <v>33.00061741098991</v>
      </c>
      <c r="H114" s="61">
        <f t="shared" si="16"/>
        <v>382.19999999999993</v>
      </c>
      <c r="I114" s="61">
        <f t="shared" si="14"/>
        <v>1953.3000000000002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95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/>
      <c r="E117" s="6">
        <f>D117/D107*100</f>
        <v>0</v>
      </c>
      <c r="F117" s="125">
        <f>D117/B117*100</f>
        <v>0</v>
      </c>
      <c r="G117" s="6">
        <f t="shared" si="12"/>
        <v>0</v>
      </c>
      <c r="H117" s="61">
        <f t="shared" si="16"/>
        <v>99</v>
      </c>
      <c r="I117" s="61">
        <f t="shared" si="14"/>
        <v>199</v>
      </c>
    </row>
    <row r="118" spans="1:9" s="2" customFormat="1" ht="18.75">
      <c r="A118" s="16" t="s">
        <v>15</v>
      </c>
      <c r="B118" s="73">
        <v>226</v>
      </c>
      <c r="C118" s="53">
        <v>422.8</v>
      </c>
      <c r="D118" s="72">
        <f>39+5+6.2+39.1+4.9+0.4+0.8+39+0.1+5.5+0.9+39+4.8</f>
        <v>184.70000000000005</v>
      </c>
      <c r="E118" s="6">
        <f>D118/D107*100</f>
        <v>0.15253558406593634</v>
      </c>
      <c r="F118" s="6">
        <f t="shared" si="15"/>
        <v>81.72566371681418</v>
      </c>
      <c r="G118" s="6">
        <f t="shared" si="12"/>
        <v>43.68495742667929</v>
      </c>
      <c r="H118" s="61">
        <f t="shared" si="16"/>
        <v>41.299999999999955</v>
      </c>
      <c r="I118" s="61">
        <f t="shared" si="14"/>
        <v>238.09999999999997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</f>
        <v>156.2</v>
      </c>
      <c r="E119" s="1">
        <f>D119/D118*100</f>
        <v>84.56957227937193</v>
      </c>
      <c r="F119" s="1">
        <f t="shared" si="15"/>
        <v>80.02049180327869</v>
      </c>
      <c r="G119" s="1">
        <f t="shared" si="12"/>
        <v>44.45076835515083</v>
      </c>
      <c r="H119" s="44">
        <f t="shared" si="16"/>
        <v>39</v>
      </c>
      <c r="I119" s="44">
        <f t="shared" si="14"/>
        <v>195.2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100</v>
      </c>
      <c r="B121" s="73">
        <f>81-45</f>
        <v>36</v>
      </c>
      <c r="C121" s="53">
        <v>520</v>
      </c>
      <c r="D121" s="76"/>
      <c r="E121" s="17">
        <f>D121/D107*100</f>
        <v>0</v>
      </c>
      <c r="F121" s="6">
        <f t="shared" si="15"/>
        <v>0</v>
      </c>
      <c r="G121" s="6">
        <f t="shared" si="12"/>
        <v>0</v>
      </c>
      <c r="H121" s="61">
        <f t="shared" si="16"/>
        <v>36</v>
      </c>
      <c r="I121" s="61">
        <f t="shared" si="14"/>
        <v>520</v>
      </c>
    </row>
    <row r="122" spans="1:9" s="102" customFormat="1" ht="18">
      <c r="A122" s="23" t="s">
        <v>82</v>
      </c>
      <c r="B122" s="74">
        <v>0</v>
      </c>
      <c r="C122" s="44">
        <v>80</v>
      </c>
      <c r="D122" s="75"/>
      <c r="E122" s="6"/>
      <c r="F122" s="103" t="e">
        <f>D122/B122*100</f>
        <v>#DIV/0!</v>
      </c>
      <c r="G122" s="1">
        <f t="shared" si="12"/>
        <v>0</v>
      </c>
      <c r="H122" s="44">
        <f t="shared" si="16"/>
        <v>0</v>
      </c>
      <c r="I122" s="44">
        <f t="shared" si="14"/>
        <v>80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101</v>
      </c>
      <c r="B124" s="73">
        <v>18022.9</v>
      </c>
      <c r="C124" s="53">
        <f>33585.8+9933.2</f>
        <v>43519</v>
      </c>
      <c r="D124" s="76">
        <f>3483.8+2635.6+1853.3+812.9+1333.3+1694.1+1722.4+661.9+934</f>
        <v>15131.3</v>
      </c>
      <c r="E124" s="17">
        <f>D124/D107*100</f>
        <v>12.496273325267472</v>
      </c>
      <c r="F124" s="6">
        <f t="shared" si="15"/>
        <v>83.95596713070591</v>
      </c>
      <c r="G124" s="6">
        <f t="shared" si="12"/>
        <v>34.76941106183506</v>
      </c>
      <c r="H124" s="61">
        <f t="shared" si="16"/>
        <v>2891.600000000002</v>
      </c>
      <c r="I124" s="61">
        <f t="shared" si="14"/>
        <v>28387.7</v>
      </c>
    </row>
    <row r="125" spans="1:9" s="2" customFormat="1" ht="18.75">
      <c r="A125" s="16" t="s">
        <v>96</v>
      </c>
      <c r="B125" s="73">
        <v>110</v>
      </c>
      <c r="C125" s="53">
        <f>585+110</f>
        <v>695</v>
      </c>
      <c r="D125" s="76">
        <f>10</f>
        <v>10</v>
      </c>
      <c r="E125" s="17">
        <f>D125/D107*100</f>
        <v>0.008258558964046363</v>
      </c>
      <c r="F125" s="6">
        <f t="shared" si="15"/>
        <v>9.090909090909092</v>
      </c>
      <c r="G125" s="6">
        <f t="shared" si="12"/>
        <v>1.4388489208633095</v>
      </c>
      <c r="H125" s="61">
        <f t="shared" si="16"/>
        <v>100</v>
      </c>
      <c r="I125" s="61">
        <f t="shared" si="14"/>
        <v>685</v>
      </c>
    </row>
    <row r="126" spans="1:9" s="2" customFormat="1" ht="37.5">
      <c r="A126" s="16" t="s">
        <v>107</v>
      </c>
      <c r="B126" s="73">
        <v>0</v>
      </c>
      <c r="C126" s="53">
        <v>200</v>
      </c>
      <c r="D126" s="76"/>
      <c r="E126" s="17">
        <f>D126/D107*100</f>
        <v>0</v>
      </c>
      <c r="F126" s="125" t="e">
        <f t="shared" si="15"/>
        <v>#DIV/0!</v>
      </c>
      <c r="G126" s="6">
        <f t="shared" si="12"/>
        <v>0</v>
      </c>
      <c r="H126" s="61">
        <f t="shared" si="16"/>
        <v>0</v>
      </c>
      <c r="I126" s="61">
        <f t="shared" si="14"/>
        <v>200</v>
      </c>
    </row>
    <row r="127" spans="1:9" s="2" customFormat="1" ht="37.5">
      <c r="A127" s="16" t="s">
        <v>87</v>
      </c>
      <c r="B127" s="73">
        <v>81.6</v>
      </c>
      <c r="C127" s="53">
        <v>81.6</v>
      </c>
      <c r="D127" s="76"/>
      <c r="E127" s="17">
        <f>D127/D107*100</f>
        <v>0</v>
      </c>
      <c r="F127" s="6">
        <f t="shared" si="15"/>
        <v>0</v>
      </c>
      <c r="G127" s="6">
        <f t="shared" si="12"/>
        <v>0</v>
      </c>
      <c r="H127" s="61">
        <f t="shared" si="16"/>
        <v>81.6</v>
      </c>
      <c r="I127" s="61">
        <f t="shared" si="14"/>
        <v>81.6</v>
      </c>
    </row>
    <row r="128" spans="1:9" s="2" customFormat="1" ht="37.5">
      <c r="A128" s="16" t="s">
        <v>59</v>
      </c>
      <c r="B128" s="73">
        <v>671.9</v>
      </c>
      <c r="C128" s="53">
        <v>1253.3</v>
      </c>
      <c r="D128" s="76">
        <f>6.5+6.7+0.9+10.2+6.4+2.4+29+2.5+26.7+1.1+7.5+20.9+3.3+0.1+0.1+0.6+54.3+6.4</f>
        <v>185.59999999999997</v>
      </c>
      <c r="E128" s="17">
        <f>D128/D107*100</f>
        <v>0.15327885437270045</v>
      </c>
      <c r="F128" s="6">
        <f t="shared" si="15"/>
        <v>27.623158208066673</v>
      </c>
      <c r="G128" s="6">
        <f t="shared" si="12"/>
        <v>14.808904492140746</v>
      </c>
      <c r="H128" s="61">
        <f t="shared" si="16"/>
        <v>486.3</v>
      </c>
      <c r="I128" s="61">
        <f t="shared" si="14"/>
        <v>1067.7</v>
      </c>
    </row>
    <row r="129" spans="1:9" s="32" customFormat="1" ht="18">
      <c r="A129" s="23" t="s">
        <v>90</v>
      </c>
      <c r="B129" s="74">
        <v>207.4</v>
      </c>
      <c r="C129" s="44">
        <v>459.6</v>
      </c>
      <c r="D129" s="75">
        <f>6.4+6.4+6.4+6.4</f>
        <v>25.6</v>
      </c>
      <c r="E129" s="1">
        <f>D129/D128*100</f>
        <v>13.793103448275865</v>
      </c>
      <c r="F129" s="1">
        <f>D129/B129*100</f>
        <v>12.343297974927676</v>
      </c>
      <c r="G129" s="1">
        <f t="shared" si="12"/>
        <v>5.57006092254134</v>
      </c>
      <c r="H129" s="44">
        <f t="shared" si="16"/>
        <v>181.8</v>
      </c>
      <c r="I129" s="44">
        <f t="shared" si="14"/>
        <v>434</v>
      </c>
    </row>
    <row r="130" spans="1:9" s="2" customFormat="1" ht="37.5" hidden="1">
      <c r="A130" s="16" t="s">
        <v>97</v>
      </c>
      <c r="B130" s="73"/>
      <c r="C130" s="53"/>
      <c r="D130" s="76"/>
      <c r="E130" s="17">
        <f>D130/D107*100</f>
        <v>0</v>
      </c>
      <c r="F130" s="125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 hidden="1">
      <c r="A132" s="16" t="s">
        <v>55</v>
      </c>
      <c r="B132" s="73"/>
      <c r="C132" s="53"/>
      <c r="D132" s="76"/>
      <c r="E132" s="17">
        <f>D132/D107*100</f>
        <v>0</v>
      </c>
      <c r="F132" s="6" t="e">
        <f t="shared" si="15"/>
        <v>#DIV/0!</v>
      </c>
      <c r="G132" s="6" t="e">
        <f t="shared" si="12"/>
        <v>#DIV/0!</v>
      </c>
      <c r="H132" s="61">
        <f t="shared" si="16"/>
        <v>0</v>
      </c>
      <c r="I132" s="61">
        <f>C132-D132</f>
        <v>0</v>
      </c>
    </row>
    <row r="133" spans="1:9" s="2" customFormat="1" ht="35.25" customHeight="1" hidden="1">
      <c r="A133" s="16" t="s">
        <v>56</v>
      </c>
      <c r="B133" s="73"/>
      <c r="C133" s="53"/>
      <c r="D133" s="76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89</v>
      </c>
      <c r="B134" s="73">
        <f>45.1-20</f>
        <v>25.1</v>
      </c>
      <c r="C134" s="53">
        <v>108.1</v>
      </c>
      <c r="D134" s="76">
        <f>3.8+10.3+1.3</f>
        <v>15.400000000000002</v>
      </c>
      <c r="E134" s="17">
        <f>D134/D107*100</f>
        <v>0.0127181808046314</v>
      </c>
      <c r="F134" s="6">
        <f t="shared" si="15"/>
        <v>61.354581673306775</v>
      </c>
      <c r="G134" s="6">
        <f t="shared" si="12"/>
        <v>14.246068455134136</v>
      </c>
      <c r="H134" s="61">
        <f t="shared" si="16"/>
        <v>9.7</v>
      </c>
      <c r="I134" s="61">
        <f t="shared" si="14"/>
        <v>92.69999999999999</v>
      </c>
    </row>
    <row r="135" spans="1:9" s="2" customFormat="1" ht="39" customHeight="1">
      <c r="A135" s="16" t="s">
        <v>56</v>
      </c>
      <c r="B135" s="73">
        <v>184</v>
      </c>
      <c r="C135" s="53">
        <v>626.8</v>
      </c>
      <c r="D135" s="76"/>
      <c r="E135" s="17">
        <f>D135/D107*100</f>
        <v>0</v>
      </c>
      <c r="F135" s="125">
        <f t="shared" si="15"/>
        <v>0</v>
      </c>
      <c r="G135" s="6">
        <f t="shared" si="12"/>
        <v>0</v>
      </c>
      <c r="H135" s="61">
        <f t="shared" si="16"/>
        <v>184</v>
      </c>
      <c r="I135" s="61">
        <f t="shared" si="14"/>
        <v>626.8</v>
      </c>
    </row>
    <row r="136" spans="1:9" s="32" customFormat="1" ht="18">
      <c r="A136" s="23" t="s">
        <v>90</v>
      </c>
      <c r="B136" s="74">
        <v>18.2</v>
      </c>
      <c r="C136" s="44">
        <v>400</v>
      </c>
      <c r="D136" s="75"/>
      <c r="E136" s="1"/>
      <c r="F136" s="125">
        <f>D136/B136*100</f>
        <v>0</v>
      </c>
      <c r="G136" s="1">
        <f>D136/C136*100</f>
        <v>0</v>
      </c>
      <c r="H136" s="44">
        <f>B136-D136</f>
        <v>18.2</v>
      </c>
      <c r="I136" s="44">
        <f>C136-D136</f>
        <v>400</v>
      </c>
    </row>
    <row r="137" spans="1:9" s="2" customFormat="1" ht="37.5">
      <c r="A137" s="16" t="s">
        <v>86</v>
      </c>
      <c r="B137" s="73">
        <v>205.1</v>
      </c>
      <c r="C137" s="53">
        <v>381.2</v>
      </c>
      <c r="D137" s="76">
        <f>0.5+1.3+15.9+33.5+3+0.6+15.2+1.3+36.5+1.9+0.3+0.3+0.6+5+2+16.5+0.1</f>
        <v>134.49999999999997</v>
      </c>
      <c r="E137" s="17">
        <f>D137/D107*100</f>
        <v>0.11107761806642355</v>
      </c>
      <c r="F137" s="6">
        <f t="shared" si="15"/>
        <v>65.57776694295464</v>
      </c>
      <c r="G137" s="6">
        <f>D137/C137*100</f>
        <v>35.28331584470094</v>
      </c>
      <c r="H137" s="61">
        <f t="shared" si="16"/>
        <v>70.60000000000002</v>
      </c>
      <c r="I137" s="61">
        <f t="shared" si="14"/>
        <v>246.70000000000002</v>
      </c>
    </row>
    <row r="138" spans="1:9" s="32" customFormat="1" ht="18">
      <c r="A138" s="23" t="s">
        <v>26</v>
      </c>
      <c r="B138" s="74">
        <v>168.3</v>
      </c>
      <c r="C138" s="44">
        <v>306.1</v>
      </c>
      <c r="D138" s="75">
        <f>15.9+33.5+15.2+36.5+0.3+4.6+16.5-0.1</f>
        <v>122.39999999999999</v>
      </c>
      <c r="E138" s="1">
        <f>D138/D137*100</f>
        <v>91.00371747211898</v>
      </c>
      <c r="F138" s="1">
        <f t="shared" si="15"/>
        <v>72.72727272727272</v>
      </c>
      <c r="G138" s="1">
        <f>D138/C138*100</f>
        <v>39.98693237504083</v>
      </c>
      <c r="H138" s="44">
        <f t="shared" si="16"/>
        <v>45.90000000000002</v>
      </c>
      <c r="I138" s="44">
        <f t="shared" si="14"/>
        <v>183.70000000000005</v>
      </c>
    </row>
    <row r="139" spans="1:9" s="2" customFormat="1" ht="18.75">
      <c r="A139" s="16" t="s">
        <v>102</v>
      </c>
      <c r="B139" s="73">
        <f>607.1</f>
        <v>607.1</v>
      </c>
      <c r="C139" s="53">
        <f>1397.4+115.2</f>
        <v>1512.6000000000001</v>
      </c>
      <c r="D139" s="76">
        <f>26+59.9+0.4-0.1+0.1+27.3+5.8+57.7+6.3+46.3+13.6+50.5+6-0.1+43.3+3.1+0.2+52.2+16.7</f>
        <v>415.20000000000005</v>
      </c>
      <c r="E139" s="17">
        <f>D139/D107*100</f>
        <v>0.342895368187205</v>
      </c>
      <c r="F139" s="6">
        <f t="shared" si="15"/>
        <v>68.39070993246582</v>
      </c>
      <c r="G139" s="6">
        <f t="shared" si="12"/>
        <v>27.449424831416103</v>
      </c>
      <c r="H139" s="61">
        <f t="shared" si="16"/>
        <v>191.89999999999998</v>
      </c>
      <c r="I139" s="61">
        <f t="shared" si="14"/>
        <v>1097.4</v>
      </c>
    </row>
    <row r="140" spans="1:9" s="32" customFormat="1" ht="18">
      <c r="A140" s="33" t="s">
        <v>44</v>
      </c>
      <c r="B140" s="74">
        <v>437.4</v>
      </c>
      <c r="C140" s="44">
        <f>1063.5+115.2</f>
        <v>1178.7</v>
      </c>
      <c r="D140" s="75">
        <f>26+59.9+27.3+57.1-0.1+46.3+42.7-0.1+36.4+51.8+8.5</f>
        <v>355.79999999999995</v>
      </c>
      <c r="E140" s="1">
        <f>D140/D139*100</f>
        <v>85.69364161849708</v>
      </c>
      <c r="F140" s="1">
        <f aca="true" t="shared" si="17" ref="F140:F148">D140/B140*100</f>
        <v>81.34430727023319</v>
      </c>
      <c r="G140" s="1">
        <f t="shared" si="12"/>
        <v>30.185797912954946</v>
      </c>
      <c r="H140" s="44">
        <f t="shared" si="16"/>
        <v>81.60000000000002</v>
      </c>
      <c r="I140" s="44">
        <f t="shared" si="14"/>
        <v>822.9000000000001</v>
      </c>
    </row>
    <row r="141" spans="1:9" s="32" customFormat="1" ht="18">
      <c r="A141" s="23" t="s">
        <v>26</v>
      </c>
      <c r="B141" s="74">
        <v>24</v>
      </c>
      <c r="C141" s="44">
        <v>37.5</v>
      </c>
      <c r="D141" s="75">
        <f>0.4+5.6+0.6+6+0.1+3.7+0.1+0.4+1</f>
        <v>17.9</v>
      </c>
      <c r="E141" s="1">
        <f>D141/D139*100</f>
        <v>4.311175337186897</v>
      </c>
      <c r="F141" s="1">
        <f t="shared" si="17"/>
        <v>74.58333333333333</v>
      </c>
      <c r="G141" s="1">
        <f>D141/C141*100</f>
        <v>47.73333333333333</v>
      </c>
      <c r="H141" s="44">
        <f t="shared" si="16"/>
        <v>6.100000000000001</v>
      </c>
      <c r="I141" s="44">
        <f t="shared" si="14"/>
        <v>19.6</v>
      </c>
    </row>
    <row r="142" spans="1:9" s="2" customFormat="1" ht="56.25">
      <c r="A142" s="18" t="s">
        <v>106</v>
      </c>
      <c r="B142" s="73">
        <v>300</v>
      </c>
      <c r="C142" s="53">
        <f>200+300</f>
        <v>500</v>
      </c>
      <c r="D142" s="76">
        <f>300</f>
        <v>300</v>
      </c>
      <c r="E142" s="17">
        <f>D142/D107*100</f>
        <v>0.24775676892139087</v>
      </c>
      <c r="F142" s="99">
        <f t="shared" si="17"/>
        <v>100</v>
      </c>
      <c r="G142" s="6">
        <f t="shared" si="12"/>
        <v>60</v>
      </c>
      <c r="H142" s="61">
        <f t="shared" si="16"/>
        <v>0</v>
      </c>
      <c r="I142" s="61">
        <f t="shared" si="14"/>
        <v>200</v>
      </c>
    </row>
    <row r="143" spans="1:9" s="2" customFormat="1" ht="18.75" hidden="1">
      <c r="A143" s="18" t="s">
        <v>98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103</v>
      </c>
      <c r="B144" s="73">
        <v>22207</v>
      </c>
      <c r="C144" s="53">
        <f>67967+150-2500-1878</f>
        <v>63739</v>
      </c>
      <c r="D144" s="76">
        <f>2189.1+2579.7+68.9+525.7+232.8+205.1+14+182+44.6+100.3+189.9+11.2+127+188.8+69.4+131.7+84.3+48.1+145.2+164.4+282.5+2057+0.1+4.7+884.5+257+126.5+89.5+69.2+64+1270.4+177.7+6.2+77.9+311.3-0.1+187.5+243.6+833.7</f>
        <v>14245.400000000001</v>
      </c>
      <c r="E144" s="17">
        <f>D144/D107*100</f>
        <v>11.764647586642607</v>
      </c>
      <c r="F144" s="99">
        <f t="shared" si="17"/>
        <v>64.14824154545865</v>
      </c>
      <c r="G144" s="6">
        <f t="shared" si="12"/>
        <v>22.349581888639612</v>
      </c>
      <c r="H144" s="61">
        <f t="shared" si="16"/>
        <v>7961.5999999999985</v>
      </c>
      <c r="I144" s="61">
        <f t="shared" si="14"/>
        <v>49493.6</v>
      </c>
    </row>
    <row r="145" spans="1:9" s="2" customFormat="1" ht="18.75" hidden="1">
      <c r="A145" s="18" t="s">
        <v>88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104</v>
      </c>
      <c r="B146" s="73">
        <v>64.1</v>
      </c>
      <c r="C146" s="53">
        <v>234</v>
      </c>
      <c r="D146" s="76">
        <f>19.2</f>
        <v>19.2</v>
      </c>
      <c r="E146" s="17">
        <f>D146/D107*100</f>
        <v>0.015856433210969016</v>
      </c>
      <c r="F146" s="99">
        <f t="shared" si="17"/>
        <v>29.95319812792512</v>
      </c>
      <c r="G146" s="6">
        <f t="shared" si="12"/>
        <v>8.205128205128204</v>
      </c>
      <c r="H146" s="61">
        <f t="shared" si="16"/>
        <v>44.89999999999999</v>
      </c>
      <c r="I146" s="61">
        <f t="shared" si="14"/>
        <v>214.8</v>
      </c>
    </row>
    <row r="147" spans="1:12" s="2" customFormat="1" ht="18.75" customHeight="1">
      <c r="A147" s="16" t="s">
        <v>79</v>
      </c>
      <c r="B147" s="73">
        <v>5200.1</v>
      </c>
      <c r="C147" s="53">
        <v>10550.8</v>
      </c>
      <c r="D147" s="76">
        <f>1601.8+39.7+92.5+565.2+121.3+853.6+638.8+424</f>
        <v>4336.9</v>
      </c>
      <c r="E147" s="17">
        <f>D147/D107*100</f>
        <v>3.5816544371172667</v>
      </c>
      <c r="F147" s="99">
        <f t="shared" si="17"/>
        <v>83.40031922463028</v>
      </c>
      <c r="G147" s="6">
        <f t="shared" si="12"/>
        <v>41.104939909769875</v>
      </c>
      <c r="H147" s="61">
        <f t="shared" si="16"/>
        <v>863.2000000000007</v>
      </c>
      <c r="I147" s="61">
        <f t="shared" si="14"/>
        <v>6213.9</v>
      </c>
      <c r="K147" s="38"/>
      <c r="L147" s="38"/>
    </row>
    <row r="148" spans="1:12" s="2" customFormat="1" ht="19.5" customHeight="1">
      <c r="A148" s="16" t="s">
        <v>51</v>
      </c>
      <c r="B148" s="73">
        <f>73575.6+155</f>
        <v>73730.6</v>
      </c>
      <c r="C148" s="53">
        <f>376354.8-1000+14285.9-198-200-300-15786.4</f>
        <v>373156.3</v>
      </c>
      <c r="D148" s="76">
        <f>69938.3+2324.7+1312.6</f>
        <v>73575.6</v>
      </c>
      <c r="E148" s="17">
        <f>D148/D107*100</f>
        <v>60.762843091508955</v>
      </c>
      <c r="F148" s="6">
        <f t="shared" si="17"/>
        <v>99.78977520866505</v>
      </c>
      <c r="G148" s="6">
        <f t="shared" si="12"/>
        <v>19.717099778296657</v>
      </c>
      <c r="H148" s="61">
        <f t="shared" si="16"/>
        <v>155</v>
      </c>
      <c r="I148" s="61">
        <f t="shared" si="14"/>
        <v>299580.69999999995</v>
      </c>
      <c r="K148" s="91"/>
      <c r="L148" s="38"/>
    </row>
    <row r="149" spans="1:12" s="2" customFormat="1" ht="18.75">
      <c r="A149" s="16" t="s">
        <v>105</v>
      </c>
      <c r="B149" s="73">
        <v>12285.5</v>
      </c>
      <c r="C149" s="53">
        <v>29485.2</v>
      </c>
      <c r="D149" s="76">
        <f>819+819+819.1+819+819+819.1+819+819+819.1+819+819+819.1+819.1</f>
        <v>10647.5</v>
      </c>
      <c r="E149" s="17">
        <f>D149/D107*100</f>
        <v>8.793300656968364</v>
      </c>
      <c r="F149" s="6">
        <f t="shared" si="15"/>
        <v>86.66720931179032</v>
      </c>
      <c r="G149" s="6">
        <f t="shared" si="12"/>
        <v>36.11133721324597</v>
      </c>
      <c r="H149" s="61">
        <f t="shared" si="16"/>
        <v>1638</v>
      </c>
      <c r="I149" s="61">
        <f t="shared" si="14"/>
        <v>18837.7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149493.5</v>
      </c>
      <c r="C150" s="77">
        <f>C43+C69+C72+C77+C79+C87+C102+C107+C100+C84+C98</f>
        <v>555013.8999999999</v>
      </c>
      <c r="D150" s="53">
        <f>D43+D69+D72+D77+D79+D87+D102+D107+D100+D84+D98</f>
        <v>125380.90000000001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749402.9000000001</v>
      </c>
      <c r="C151" s="47">
        <f>C6+C18+C33+C43+C51+C59+C69+C72+C77+C79+C87+C90+C95+C102+C107+C100+C84+C98+C45</f>
        <v>1879821.5</v>
      </c>
      <c r="D151" s="47">
        <f>D6+D18+D33+D43+D51+D59+D69+D72+D77+D79+D87+D90+D95+D102+D107+D100+D84+D98+D45</f>
        <v>545968.8</v>
      </c>
      <c r="E151" s="31">
        <v>100</v>
      </c>
      <c r="F151" s="3">
        <f>D151/B151*100</f>
        <v>72.85384137157729</v>
      </c>
      <c r="G151" s="3">
        <f aca="true" t="shared" si="18" ref="G151:G157">D151/C151*100</f>
        <v>29.043651219012016</v>
      </c>
      <c r="H151" s="47">
        <f aca="true" t="shared" si="19" ref="H151:H157">B151-D151</f>
        <v>203434.1000000001</v>
      </c>
      <c r="I151" s="47">
        <f aca="true" t="shared" si="20" ref="I151:I157">C151-D151</f>
        <v>1333852.7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305094.3000000001</v>
      </c>
      <c r="C152" s="60">
        <f>C8+C20+C34+C52+C60+C91+C115+C119+C46+C140+C131+C103</f>
        <v>723589.8999999999</v>
      </c>
      <c r="D152" s="60">
        <f>D8+D20+D34+D52+D60+D91+D115+D119+D46+D140+D131+D103</f>
        <v>205789.8</v>
      </c>
      <c r="E152" s="6">
        <f>D152/D151*100</f>
        <v>37.692593422920865</v>
      </c>
      <c r="F152" s="6">
        <f aca="true" t="shared" si="21" ref="F152:F157">D152/B152*100</f>
        <v>67.45121098624259</v>
      </c>
      <c r="G152" s="6">
        <f t="shared" si="18"/>
        <v>28.44011504306514</v>
      </c>
      <c r="H152" s="61">
        <f t="shared" si="19"/>
        <v>99304.50000000012</v>
      </c>
      <c r="I152" s="72">
        <f t="shared" si="20"/>
        <v>517800.0999999999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57429</v>
      </c>
      <c r="C153" s="61">
        <f>C11+C23+C36+C55+C62+C92+C49+C141+C109+C112+C96+C138</f>
        <v>102336.00000000003</v>
      </c>
      <c r="D153" s="61">
        <f>D11+D23+D36+D55+D62+D92+D49+D141+D109+D112+D96+D138</f>
        <v>48061</v>
      </c>
      <c r="E153" s="6">
        <f>D153/D151*100</f>
        <v>8.802883974322341</v>
      </c>
      <c r="F153" s="6">
        <f t="shared" si="21"/>
        <v>83.68768392275679</v>
      </c>
      <c r="G153" s="6">
        <f t="shared" si="18"/>
        <v>46.963922764227625</v>
      </c>
      <c r="H153" s="61">
        <f t="shared" si="19"/>
        <v>9368</v>
      </c>
      <c r="I153" s="72">
        <f t="shared" si="20"/>
        <v>54275.00000000003</v>
      </c>
      <c r="K153" s="39"/>
      <c r="L153" s="90"/>
    </row>
    <row r="154" spans="1:12" ht="18.75">
      <c r="A154" s="18" t="s">
        <v>1</v>
      </c>
      <c r="B154" s="60">
        <f>B22+B10+B54+B48+B61+B35+B123</f>
        <v>16007.3</v>
      </c>
      <c r="C154" s="60">
        <f>C22+C10+C54+C48+C61+C35+C123</f>
        <v>28689.1</v>
      </c>
      <c r="D154" s="60">
        <f>D22+D10+D54+D48+D61+D35+D123</f>
        <v>11955.5</v>
      </c>
      <c r="E154" s="6">
        <f>D154/D151*100</f>
        <v>2.189777144774573</v>
      </c>
      <c r="F154" s="6">
        <f t="shared" si="21"/>
        <v>74.68779869184685</v>
      </c>
      <c r="G154" s="6">
        <f t="shared" si="18"/>
        <v>41.672621309138314</v>
      </c>
      <c r="H154" s="61">
        <f t="shared" si="19"/>
        <v>4051.7999999999993</v>
      </c>
      <c r="I154" s="72">
        <f t="shared" si="20"/>
        <v>16733.6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11333.7</v>
      </c>
      <c r="C155" s="60">
        <f>C12+C24+C104+C63+C38+C93+C129+C56+C136</f>
        <v>29700.2</v>
      </c>
      <c r="D155" s="60">
        <f>D12+D24+D104+D63+D38+D93+D129+D56</f>
        <v>7296.299999999999</v>
      </c>
      <c r="E155" s="6">
        <f>D155/D151*100</f>
        <v>1.336395046749924</v>
      </c>
      <c r="F155" s="6">
        <f t="shared" si="21"/>
        <v>64.37703486063685</v>
      </c>
      <c r="G155" s="6">
        <f t="shared" si="18"/>
        <v>24.566501235681912</v>
      </c>
      <c r="H155" s="61">
        <f>B155-D155</f>
        <v>4037.4000000000015</v>
      </c>
      <c r="I155" s="72">
        <f t="shared" si="20"/>
        <v>22403.9</v>
      </c>
      <c r="K155" s="39"/>
      <c r="L155" s="90"/>
    </row>
    <row r="156" spans="1:12" ht="18.75">
      <c r="A156" s="18" t="s">
        <v>2</v>
      </c>
      <c r="B156" s="60">
        <f>B9+B21+B47+B53+B122</f>
        <v>49.199999999999996</v>
      </c>
      <c r="C156" s="60">
        <f>C9+C21+C47+C53+C122</f>
        <v>186.9</v>
      </c>
      <c r="D156" s="60">
        <f>D9+D21+D47+D53+D122</f>
        <v>20.8</v>
      </c>
      <c r="E156" s="6">
        <f>D156/D151*100</f>
        <v>0.0038097415090386113</v>
      </c>
      <c r="F156" s="6">
        <f t="shared" si="21"/>
        <v>42.27642276422765</v>
      </c>
      <c r="G156" s="6">
        <f t="shared" si="18"/>
        <v>11.128945960406634</v>
      </c>
      <c r="H156" s="61">
        <f t="shared" si="19"/>
        <v>28.399999999999995</v>
      </c>
      <c r="I156" s="72">
        <f t="shared" si="20"/>
        <v>166.1</v>
      </c>
      <c r="K156" s="39"/>
      <c r="L156" s="40"/>
    </row>
    <row r="157" spans="1:12" ht="19.5" thickBot="1">
      <c r="A157" s="126" t="s">
        <v>28</v>
      </c>
      <c r="B157" s="78">
        <f>B151-B152-B153-B154-B155-B156</f>
        <v>359489.4</v>
      </c>
      <c r="C157" s="78">
        <f>C151-C152-C153-C154-C155-C156</f>
        <v>995319.4000000001</v>
      </c>
      <c r="D157" s="78">
        <f>D151-D152-D153-D154-D155-D156</f>
        <v>272845.4000000001</v>
      </c>
      <c r="E157" s="36">
        <f>D157/D151*100</f>
        <v>49.97454066972326</v>
      </c>
      <c r="F157" s="36">
        <f t="shared" si="21"/>
        <v>75.89803760555945</v>
      </c>
      <c r="G157" s="36">
        <f t="shared" si="18"/>
        <v>27.412848579059144</v>
      </c>
      <c r="H157" s="127">
        <f t="shared" si="19"/>
        <v>86643.99999999994</v>
      </c>
      <c r="I157" s="127">
        <f t="shared" si="20"/>
        <v>722474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7:8" ht="12.75"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0" operator="lessThan" stopIfTrue="1">
      <formula>0</formula>
    </cfRule>
  </conditionalFormatting>
  <printOptions/>
  <pageMargins left="0.57" right="0.16" top="0.2" bottom="0.19" header="0.17" footer="0.18"/>
  <pageSetup fitToHeight="1" fitToWidth="1" horizontalDpi="600" verticalDpi="600" orientation="portrait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545968.8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1879821.5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545968.8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2017-05-05T09:39:50Z</cp:lastPrinted>
  <dcterms:created xsi:type="dcterms:W3CDTF">2000-06-20T04:48:00Z</dcterms:created>
  <dcterms:modified xsi:type="dcterms:W3CDTF">2017-05-12T05:07:16Z</dcterms:modified>
  <cp:category/>
  <cp:version/>
  <cp:contentType/>
  <cp:contentStatus/>
</cp:coreProperties>
</file>